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UESTA AL DG LIC. DINO MON\"/>
    </mc:Choice>
  </mc:AlternateContent>
  <xr:revisionPtr revIDLastSave="0" documentId="8_{946D3341-4564-44D8-BE0A-9B55CA36D238}" xr6:coauthVersionLast="47" xr6:coauthVersionMax="47" xr10:uidLastSave="{00000000-0000-0000-0000-000000000000}"/>
  <bookViews>
    <workbookView xWindow="-120" yWindow="-120" windowWidth="29040" windowHeight="15840" activeTab="3" xr2:uid="{76B5F6F3-B768-4EF3-9952-3FF9F8CF7CD2}"/>
  </bookViews>
  <sheets>
    <sheet name="BAL COMPARATIVO" sheetId="2" r:id="rId1"/>
    <sheet name="BAL POR FONDOS" sheetId="3" r:id="rId2"/>
    <sheet name="BALANCE GENRAL IVM" sheetId="4" r:id="rId3"/>
    <sheet name="EST RESULTADO POR RIESGO" sheetId="5" r:id="rId4"/>
    <sheet name="CAMBIO DE PATRIMONIO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9" i="5" l="1"/>
  <c r="F342" i="5"/>
  <c r="H334" i="5"/>
  <c r="F331" i="5"/>
  <c r="T329" i="5"/>
  <c r="T334" i="5" s="1"/>
  <c r="P329" i="5"/>
  <c r="P334" i="5" s="1"/>
  <c r="N329" i="5"/>
  <c r="N334" i="5" s="1"/>
  <c r="L329" i="5"/>
  <c r="H329" i="5"/>
  <c r="R327" i="5"/>
  <c r="R329" i="5" s="1"/>
  <c r="R334" i="5" s="1"/>
  <c r="J327" i="5"/>
  <c r="F327" i="5" s="1"/>
  <c r="F329" i="5" s="1"/>
  <c r="F334" i="5" s="1"/>
  <c r="H327" i="5"/>
  <c r="F326" i="5"/>
  <c r="F325" i="5"/>
  <c r="F322" i="5"/>
  <c r="F320" i="5"/>
  <c r="L316" i="5"/>
  <c r="L337" i="5" s="1"/>
  <c r="L344" i="5" s="1"/>
  <c r="T314" i="5"/>
  <c r="R314" i="5"/>
  <c r="R316" i="5" s="1"/>
  <c r="P314" i="5"/>
  <c r="N314" i="5"/>
  <c r="N316" i="5" s="1"/>
  <c r="N337" i="5" s="1"/>
  <c r="N344" i="5" s="1"/>
  <c r="L314" i="5"/>
  <c r="J314" i="5"/>
  <c r="H314" i="5"/>
  <c r="F313" i="5"/>
  <c r="F312" i="5"/>
  <c r="F314" i="5" s="1"/>
  <c r="T309" i="5"/>
  <c r="R309" i="5"/>
  <c r="P309" i="5"/>
  <c r="N309" i="5"/>
  <c r="L309" i="5"/>
  <c r="J309" i="5"/>
  <c r="L308" i="5"/>
  <c r="F308" i="5"/>
  <c r="H307" i="5"/>
  <c r="F307" i="5" s="1"/>
  <c r="F309" i="5" s="1"/>
  <c r="T304" i="5"/>
  <c r="F303" i="5"/>
  <c r="F304" i="5" s="1"/>
  <c r="F301" i="5"/>
  <c r="F298" i="5"/>
  <c r="T296" i="5"/>
  <c r="T316" i="5" s="1"/>
  <c r="R296" i="5"/>
  <c r="P296" i="5"/>
  <c r="P316" i="5" s="1"/>
  <c r="P337" i="5" s="1"/>
  <c r="P344" i="5" s="1"/>
  <c r="N296" i="5"/>
  <c r="L296" i="5"/>
  <c r="J296" i="5"/>
  <c r="J316" i="5" s="1"/>
  <c r="H296" i="5"/>
  <c r="F295" i="5"/>
  <c r="F294" i="5"/>
  <c r="F293" i="5"/>
  <c r="F292" i="5"/>
  <c r="F296" i="5" s="1"/>
  <c r="T284" i="5"/>
  <c r="R284" i="5"/>
  <c r="R287" i="5" s="1"/>
  <c r="P284" i="5"/>
  <c r="P287" i="5" s="1"/>
  <c r="P346" i="5" s="1"/>
  <c r="P351" i="5" s="1"/>
  <c r="N284" i="5"/>
  <c r="L284" i="5"/>
  <c r="J284" i="5"/>
  <c r="H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6" i="5"/>
  <c r="F265" i="5"/>
  <c r="F263" i="5"/>
  <c r="F262" i="5"/>
  <c r="F261" i="5"/>
  <c r="F284" i="5" s="1"/>
  <c r="T253" i="5"/>
  <c r="R253" i="5"/>
  <c r="P253" i="5"/>
  <c r="N253" i="5"/>
  <c r="L253" i="5"/>
  <c r="J253" i="5"/>
  <c r="H253" i="5"/>
  <c r="F253" i="5"/>
  <c r="F252" i="5"/>
  <c r="F251" i="5"/>
  <c r="T245" i="5"/>
  <c r="R245" i="5"/>
  <c r="P245" i="5"/>
  <c r="N245" i="5"/>
  <c r="L245" i="5"/>
  <c r="J245" i="5"/>
  <c r="H245" i="5"/>
  <c r="F244" i="5"/>
  <c r="F243" i="5"/>
  <c r="F245" i="5" s="1"/>
  <c r="T240" i="5"/>
  <c r="R240" i="5"/>
  <c r="P240" i="5"/>
  <c r="N240" i="5"/>
  <c r="L240" i="5"/>
  <c r="L255" i="5" s="1"/>
  <c r="J240" i="5"/>
  <c r="J255" i="5" s="1"/>
  <c r="H240" i="5"/>
  <c r="F238" i="5"/>
  <c r="F240" i="5" s="1"/>
  <c r="T235" i="5"/>
  <c r="R235" i="5"/>
  <c r="P235" i="5"/>
  <c r="N235" i="5"/>
  <c r="L235" i="5"/>
  <c r="J235" i="5"/>
  <c r="H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3" i="5"/>
  <c r="F212" i="5"/>
  <c r="F211" i="5"/>
  <c r="F210" i="5"/>
  <c r="F209" i="5"/>
  <c r="F208" i="5"/>
  <c r="F207" i="5"/>
  <c r="F206" i="5"/>
  <c r="F205" i="5"/>
  <c r="F204" i="5"/>
  <c r="F203" i="5"/>
  <c r="F201" i="5"/>
  <c r="F200" i="5"/>
  <c r="F199" i="5"/>
  <c r="F198" i="5"/>
  <c r="F197" i="5"/>
  <c r="F196" i="5"/>
  <c r="F235" i="5" s="1"/>
  <c r="F195" i="5"/>
  <c r="F194" i="5"/>
  <c r="T190" i="5"/>
  <c r="T255" i="5" s="1"/>
  <c r="R190" i="5"/>
  <c r="R255" i="5" s="1"/>
  <c r="P190" i="5"/>
  <c r="P255" i="5" s="1"/>
  <c r="L190" i="5"/>
  <c r="J190" i="5"/>
  <c r="F188" i="5"/>
  <c r="F187" i="5"/>
  <c r="N186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N158" i="5"/>
  <c r="F158" i="5" s="1"/>
  <c r="N157" i="5"/>
  <c r="F157" i="5" s="1"/>
  <c r="H156" i="5"/>
  <c r="H190" i="5" s="1"/>
  <c r="H255" i="5" s="1"/>
  <c r="F156" i="5"/>
  <c r="N155" i="5"/>
  <c r="F155" i="5" s="1"/>
  <c r="H155" i="5"/>
  <c r="F146" i="5"/>
  <c r="T144" i="5"/>
  <c r="T148" i="5" s="1"/>
  <c r="R144" i="5"/>
  <c r="P144" i="5"/>
  <c r="N144" i="5"/>
  <c r="L144" i="5"/>
  <c r="H144" i="5"/>
  <c r="F144" i="5"/>
  <c r="H143" i="5"/>
  <c r="F143" i="5"/>
  <c r="P141" i="5"/>
  <c r="N141" i="5"/>
  <c r="L141" i="5"/>
  <c r="R140" i="5"/>
  <c r="J140" i="5"/>
  <c r="H140" i="5"/>
  <c r="F140" i="5" s="1"/>
  <c r="F139" i="5"/>
  <c r="F138" i="5"/>
  <c r="F137" i="5"/>
  <c r="F136" i="5"/>
  <c r="J135" i="5"/>
  <c r="F135" i="5" s="1"/>
  <c r="F134" i="5"/>
  <c r="F133" i="5"/>
  <c r="F132" i="5"/>
  <c r="F131" i="5"/>
  <c r="F130" i="5"/>
  <c r="F129" i="5"/>
  <c r="F128" i="5"/>
  <c r="F127" i="5"/>
  <c r="F126" i="5"/>
  <c r="R125" i="5"/>
  <c r="R141" i="5" s="1"/>
  <c r="J125" i="5"/>
  <c r="J141" i="5" s="1"/>
  <c r="H125" i="5"/>
  <c r="H141" i="5" s="1"/>
  <c r="F124" i="5"/>
  <c r="F123" i="5"/>
  <c r="T120" i="5"/>
  <c r="R120" i="5"/>
  <c r="R148" i="5" s="1"/>
  <c r="P120" i="5"/>
  <c r="N120" i="5"/>
  <c r="L120" i="5"/>
  <c r="J120" i="5"/>
  <c r="H120" i="5"/>
  <c r="F120" i="5"/>
  <c r="F118" i="5"/>
  <c r="F117" i="5"/>
  <c r="F116" i="5"/>
  <c r="F115" i="5"/>
  <c r="F114" i="5"/>
  <c r="F113" i="5"/>
  <c r="T111" i="5"/>
  <c r="R111" i="5"/>
  <c r="P111" i="5"/>
  <c r="N111" i="5"/>
  <c r="L111" i="5"/>
  <c r="J111" i="5"/>
  <c r="H111" i="5"/>
  <c r="F109" i="5"/>
  <c r="F108" i="5"/>
  <c r="F107" i="5"/>
  <c r="F106" i="5"/>
  <c r="F105" i="5"/>
  <c r="F111" i="5" s="1"/>
  <c r="F100" i="5"/>
  <c r="T97" i="5"/>
  <c r="R97" i="5"/>
  <c r="N97" i="5"/>
  <c r="N148" i="5" s="1"/>
  <c r="J97" i="5"/>
  <c r="H97" i="5"/>
  <c r="F96" i="5"/>
  <c r="F95" i="5"/>
  <c r="F94" i="5"/>
  <c r="F93" i="5"/>
  <c r="F92" i="5"/>
  <c r="F91" i="5"/>
  <c r="F90" i="5"/>
  <c r="F89" i="5"/>
  <c r="F88" i="5"/>
  <c r="F87" i="5"/>
  <c r="L86" i="5"/>
  <c r="F86" i="5"/>
  <c r="F85" i="5"/>
  <c r="F84" i="5"/>
  <c r="F83" i="5"/>
  <c r="F82" i="5"/>
  <c r="F81" i="5"/>
  <c r="F80" i="5"/>
  <c r="F79" i="5"/>
  <c r="F78" i="5"/>
  <c r="R77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P56" i="5"/>
  <c r="P97" i="5" s="1"/>
  <c r="P148" i="5" s="1"/>
  <c r="F56" i="5"/>
  <c r="L55" i="5"/>
  <c r="F55" i="5"/>
  <c r="F54" i="5"/>
  <c r="F53" i="5"/>
  <c r="F52" i="5"/>
  <c r="P51" i="5"/>
  <c r="F51" i="5" s="1"/>
  <c r="R50" i="5"/>
  <c r="L50" i="5"/>
  <c r="L97" i="5" s="1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T26" i="5"/>
  <c r="T257" i="5" s="1"/>
  <c r="T287" i="5" s="1"/>
  <c r="L26" i="5"/>
  <c r="J26" i="5"/>
  <c r="F24" i="5"/>
  <c r="R22" i="5"/>
  <c r="R26" i="5" s="1"/>
  <c r="R257" i="5" s="1"/>
  <c r="P22" i="5"/>
  <c r="P26" i="5" s="1"/>
  <c r="P257" i="5" s="1"/>
  <c r="N22" i="5"/>
  <c r="N26" i="5" s="1"/>
  <c r="L22" i="5"/>
  <c r="J22" i="5"/>
  <c r="H22" i="5"/>
  <c r="H26" i="5" s="1"/>
  <c r="F20" i="5"/>
  <c r="F19" i="5"/>
  <c r="F18" i="5"/>
  <c r="F17" i="5"/>
  <c r="F16" i="5"/>
  <c r="F15" i="5"/>
  <c r="F14" i="5"/>
  <c r="F22" i="5" s="1"/>
  <c r="F26" i="5" s="1"/>
  <c r="T337" i="5" l="1"/>
  <c r="T344" i="5" s="1"/>
  <c r="T346" i="5" s="1"/>
  <c r="T351" i="5" s="1"/>
  <c r="F316" i="5"/>
  <c r="F337" i="5" s="1"/>
  <c r="F344" i="5" s="1"/>
  <c r="F190" i="5"/>
  <c r="F255" i="5"/>
  <c r="H148" i="5"/>
  <c r="H257" i="5"/>
  <c r="H287" i="5" s="1"/>
  <c r="L148" i="5"/>
  <c r="L257" i="5" s="1"/>
  <c r="L287" i="5" s="1"/>
  <c r="L346" i="5" s="1"/>
  <c r="L351" i="5" s="1"/>
  <c r="R337" i="5"/>
  <c r="R344" i="5" s="1"/>
  <c r="R346" i="5" s="1"/>
  <c r="R351" i="5" s="1"/>
  <c r="F97" i="5"/>
  <c r="J148" i="5"/>
  <c r="J257" i="5" s="1"/>
  <c r="J287" i="5" s="1"/>
  <c r="J329" i="5"/>
  <c r="J334" i="5" s="1"/>
  <c r="J337" i="5" s="1"/>
  <c r="J344" i="5" s="1"/>
  <c r="H309" i="5"/>
  <c r="H316" i="5" s="1"/>
  <c r="H337" i="5" s="1"/>
  <c r="H344" i="5" s="1"/>
  <c r="N190" i="5"/>
  <c r="N255" i="5" s="1"/>
  <c r="N257" i="5" s="1"/>
  <c r="N287" i="5" s="1"/>
  <c r="N346" i="5" s="1"/>
  <c r="N351" i="5" s="1"/>
  <c r="F125" i="5"/>
  <c r="F141" i="5" s="1"/>
  <c r="F148" i="5" s="1"/>
  <c r="F257" i="5" s="1"/>
  <c r="F287" i="5" s="1"/>
  <c r="F346" i="5" s="1"/>
  <c r="F351" i="5" s="1"/>
  <c r="J346" i="5" l="1"/>
  <c r="J351" i="5" s="1"/>
  <c r="H346" i="5"/>
  <c r="H351" i="5" s="1"/>
  <c r="L55" i="4" l="1"/>
  <c r="H55" i="4" s="1"/>
  <c r="R53" i="4"/>
  <c r="R54" i="4" s="1"/>
  <c r="P53" i="4"/>
  <c r="P54" i="4" s="1"/>
  <c r="N53" i="4"/>
  <c r="N54" i="4" s="1"/>
  <c r="N56" i="4" s="1"/>
  <c r="L53" i="4"/>
  <c r="J53" i="4"/>
  <c r="J54" i="4" s="1"/>
  <c r="J56" i="4" s="1"/>
  <c r="L51" i="4"/>
  <c r="H51" i="4"/>
  <c r="H53" i="4" s="1"/>
  <c r="R48" i="4"/>
  <c r="P48" i="4"/>
  <c r="N48" i="4"/>
  <c r="J48" i="4"/>
  <c r="H47" i="4"/>
  <c r="L46" i="4"/>
  <c r="H46" i="4" s="1"/>
  <c r="L45" i="4"/>
  <c r="H45" i="4"/>
  <c r="L44" i="4"/>
  <c r="H44" i="4" s="1"/>
  <c r="H43" i="4"/>
  <c r="H42" i="4"/>
  <c r="P36" i="4"/>
  <c r="J36" i="4"/>
  <c r="J62" i="4" s="1"/>
  <c r="L34" i="4"/>
  <c r="H34" i="4"/>
  <c r="L33" i="4"/>
  <c r="H33" i="4" s="1"/>
  <c r="L32" i="4"/>
  <c r="H32" i="4" s="1"/>
  <c r="L31" i="4"/>
  <c r="H31" i="4" s="1"/>
  <c r="L29" i="4"/>
  <c r="H29" i="4"/>
  <c r="L28" i="4"/>
  <c r="H28" i="4"/>
  <c r="L27" i="4"/>
  <c r="H27" i="4"/>
  <c r="L26" i="4"/>
  <c r="H26" i="4" s="1"/>
  <c r="R24" i="4"/>
  <c r="R36" i="4" s="1"/>
  <c r="P24" i="4"/>
  <c r="N24" i="4"/>
  <c r="L24" i="4" s="1"/>
  <c r="J24" i="4"/>
  <c r="L23" i="4"/>
  <c r="H23" i="4"/>
  <c r="L22" i="4"/>
  <c r="H22" i="4"/>
  <c r="R21" i="4"/>
  <c r="L21" i="4"/>
  <c r="H21" i="4"/>
  <c r="L20" i="4"/>
  <c r="H20" i="4"/>
  <c r="L19" i="4"/>
  <c r="H19" i="4"/>
  <c r="L18" i="4"/>
  <c r="H18" i="4"/>
  <c r="L17" i="4"/>
  <c r="H17" i="4" s="1"/>
  <c r="H24" i="4" s="1"/>
  <c r="H36" i="4" s="1"/>
  <c r="L16" i="4"/>
  <c r="H16" i="4"/>
  <c r="B8" i="4"/>
  <c r="B7" i="4"/>
  <c r="H63" i="3"/>
  <c r="R60" i="3"/>
  <c r="P60" i="3"/>
  <c r="P62" i="3" s="1"/>
  <c r="P64" i="3" s="1"/>
  <c r="N60" i="3"/>
  <c r="L60" i="3"/>
  <c r="H58" i="3"/>
  <c r="H60" i="3" s="1"/>
  <c r="H57" i="3"/>
  <c r="R54" i="3"/>
  <c r="R62" i="3" s="1"/>
  <c r="R64" i="3" s="1"/>
  <c r="P54" i="3"/>
  <c r="N54" i="3"/>
  <c r="N62" i="3" s="1"/>
  <c r="N64" i="3" s="1"/>
  <c r="J52" i="3"/>
  <c r="J51" i="3"/>
  <c r="J50" i="3"/>
  <c r="J54" i="3" s="1"/>
  <c r="J62" i="3" s="1"/>
  <c r="J64" i="3" s="1"/>
  <c r="H49" i="3"/>
  <c r="L48" i="3"/>
  <c r="H48" i="3" s="1"/>
  <c r="H47" i="3"/>
  <c r="H46" i="3"/>
  <c r="H45" i="3"/>
  <c r="H54" i="3" s="1"/>
  <c r="H44" i="3"/>
  <c r="H35" i="3"/>
  <c r="H34" i="3"/>
  <c r="H33" i="3"/>
  <c r="H32" i="3"/>
  <c r="H30" i="3"/>
  <c r="H29" i="3"/>
  <c r="H28" i="3"/>
  <c r="H27" i="3"/>
  <c r="R25" i="3"/>
  <c r="R37" i="3" s="1"/>
  <c r="P25" i="3"/>
  <c r="P37" i="3" s="1"/>
  <c r="P73" i="3" s="1"/>
  <c r="N25" i="3"/>
  <c r="N37" i="3" s="1"/>
  <c r="L25" i="3"/>
  <c r="L37" i="3" s="1"/>
  <c r="J25" i="3"/>
  <c r="J37" i="3" s="1"/>
  <c r="J73" i="3" s="1"/>
  <c r="H24" i="3"/>
  <c r="H23" i="3"/>
  <c r="H22" i="3"/>
  <c r="R21" i="3"/>
  <c r="J21" i="3"/>
  <c r="J20" i="3"/>
  <c r="J19" i="3"/>
  <c r="H18" i="3"/>
  <c r="H17" i="3"/>
  <c r="H16" i="3"/>
  <c r="H15" i="3"/>
  <c r="H25" i="3" s="1"/>
  <c r="H37" i="3" s="1"/>
  <c r="I89" i="2"/>
  <c r="F54" i="2"/>
  <c r="P52" i="2"/>
  <c r="N52" i="2"/>
  <c r="N54" i="2" s="1"/>
  <c r="T47" i="2"/>
  <c r="N37" i="2"/>
  <c r="P32" i="2"/>
  <c r="P37" i="2" s="1"/>
  <c r="N32" i="2"/>
  <c r="P25" i="2"/>
  <c r="N25" i="2"/>
  <c r="H25" i="2"/>
  <c r="H54" i="2" s="1"/>
  <c r="F25" i="2"/>
  <c r="L54" i="4" l="1"/>
  <c r="H54" i="4" s="1"/>
  <c r="H56" i="4" s="1"/>
  <c r="H62" i="4" s="1"/>
  <c r="P56" i="4"/>
  <c r="L56" i="4" s="1"/>
  <c r="R62" i="4"/>
  <c r="P62" i="4"/>
  <c r="R56" i="4"/>
  <c r="H48" i="4"/>
  <c r="N36" i="4"/>
  <c r="L48" i="4"/>
  <c r="H62" i="3"/>
  <c r="H64" i="3" s="1"/>
  <c r="H73" i="3"/>
  <c r="N73" i="3"/>
  <c r="R73" i="3"/>
  <c r="L54" i="3"/>
  <c r="L62" i="3" s="1"/>
  <c r="L64" i="3" s="1"/>
  <c r="L73" i="3" s="1"/>
  <c r="P54" i="2"/>
  <c r="P61" i="2" s="1"/>
  <c r="F61" i="2"/>
  <c r="T54" i="2"/>
  <c r="N62" i="4" l="1"/>
  <c r="L36" i="4"/>
  <c r="L62" i="4" s="1"/>
  <c r="L97" i="1" l="1"/>
  <c r="J97" i="1"/>
  <c r="H97" i="1"/>
  <c r="X44" i="1"/>
  <c r="V44" i="1"/>
  <c r="F44" i="1" s="1"/>
  <c r="T44" i="1"/>
  <c r="R44" i="1"/>
  <c r="P44" i="1"/>
  <c r="N44" i="1"/>
  <c r="L44" i="1"/>
  <c r="J44" i="1"/>
  <c r="H44" i="1"/>
  <c r="F42" i="1"/>
  <c r="F41" i="1"/>
  <c r="F40" i="1"/>
  <c r="F39" i="1"/>
  <c r="F38" i="1"/>
  <c r="F37" i="1"/>
  <c r="F36" i="1"/>
  <c r="F35" i="1"/>
  <c r="X29" i="1"/>
  <c r="V29" i="1"/>
  <c r="T29" i="1"/>
  <c r="R29" i="1"/>
  <c r="N29" i="1"/>
  <c r="L29" i="1"/>
  <c r="J29" i="1"/>
  <c r="H29" i="1"/>
  <c r="F27" i="1"/>
  <c r="P26" i="1"/>
  <c r="F26" i="1" s="1"/>
  <c r="F25" i="1"/>
  <c r="F24" i="1"/>
  <c r="F23" i="1"/>
  <c r="F22" i="1"/>
  <c r="F21" i="1"/>
  <c r="F20" i="1"/>
  <c r="P29" i="1" l="1"/>
  <c r="F29" i="1" s="1"/>
</calcChain>
</file>

<file path=xl/sharedStrings.xml><?xml version="1.0" encoding="utf-8"?>
<sst xmlns="http://schemas.openxmlformats.org/spreadsheetml/2006/main" count="648" uniqueCount="440">
  <si>
    <t>CAJA  DE  SEGURO  SOCIAL</t>
  </si>
  <si>
    <t>ESTADO  DE  CAMBIO  DE  RIESGOS</t>
  </si>
  <si>
    <t>Al 31 de Diciembre de  2023 y 2022</t>
  </si>
  <si>
    <t>En Balboas</t>
  </si>
  <si>
    <t>Saldo Final</t>
  </si>
  <si>
    <t>Administración de los Riesgos</t>
  </si>
  <si>
    <t>Riesgo  de Enfermedad y Maternidad</t>
  </si>
  <si>
    <t>Riesgo de Invalidez, Vejez y Muerte</t>
  </si>
  <si>
    <t xml:space="preserve"> </t>
  </si>
  <si>
    <t>Riesgo Profesionales</t>
  </si>
  <si>
    <t xml:space="preserve">Seguro </t>
  </si>
  <si>
    <t>Seguro</t>
  </si>
  <si>
    <t>Sistema Exc.</t>
  </si>
  <si>
    <t>Subsistema</t>
  </si>
  <si>
    <t>Administración</t>
  </si>
  <si>
    <t>Colectivo</t>
  </si>
  <si>
    <t>de Beneficio</t>
  </si>
  <si>
    <t>Mixto</t>
  </si>
  <si>
    <t>Fideicomiso</t>
  </si>
  <si>
    <t>Riesgo</t>
  </si>
  <si>
    <t>Renta Vitalicia</t>
  </si>
  <si>
    <t>Invalidez</t>
  </si>
  <si>
    <t>Definido</t>
  </si>
  <si>
    <t>Profesionales</t>
  </si>
  <si>
    <t>Saldo al 1 de Enero de 2022</t>
  </si>
  <si>
    <t>B/.</t>
  </si>
  <si>
    <t>Trasferencias</t>
  </si>
  <si>
    <t>Donaciones</t>
  </si>
  <si>
    <t>Incobrables</t>
  </si>
  <si>
    <t>Remesas Internas</t>
  </si>
  <si>
    <t>Resultado de Operaciones</t>
  </si>
  <si>
    <t>Aportes para la Sostenibilidad del Régimen 2018 y 2019</t>
  </si>
  <si>
    <t>Revaluaciones y Donaciones</t>
  </si>
  <si>
    <t>Ajustes de Períodos Anteriores</t>
  </si>
  <si>
    <t>Saldo al 31 de Diciembre de 2022</t>
  </si>
  <si>
    <t>Saldo al 1 de Enero de 2023</t>
  </si>
  <si>
    <t>Saldo al 31 de Diciembre de 2023</t>
  </si>
  <si>
    <t>Las notas que se acompañan forman parte integral de estos estados financieros.</t>
  </si>
  <si>
    <t>Balances Generales</t>
  </si>
  <si>
    <t>Al 31 de Diciembre de  2023 y  2022</t>
  </si>
  <si>
    <r>
      <t>.</t>
    </r>
    <r>
      <rPr>
        <u/>
        <sz val="20"/>
        <rFont val="Arial"/>
        <family val="2"/>
      </rPr>
      <t xml:space="preserve"> 2023</t>
    </r>
  </si>
  <si>
    <r>
      <t>.</t>
    </r>
    <r>
      <rPr>
        <u/>
        <sz val="20"/>
        <rFont val="Arial"/>
        <family val="2"/>
      </rPr>
      <t xml:space="preserve"> 2022</t>
    </r>
  </si>
  <si>
    <t>ACTIVOS:</t>
  </si>
  <si>
    <t>PASIVOS:</t>
  </si>
  <si>
    <t xml:space="preserve">                                             </t>
  </si>
  <si>
    <t xml:space="preserve">  Activos Corrientes:</t>
  </si>
  <si>
    <t xml:space="preserve">  Pasivos Corrientes:</t>
  </si>
  <si>
    <t xml:space="preserve">  Caja y Banco (Nota 4)</t>
  </si>
  <si>
    <t xml:space="preserve">      Cuentas por  Pagar:</t>
  </si>
  <si>
    <t xml:space="preserve">  Inversiones  (Nota 5)</t>
  </si>
  <si>
    <t>Proveedores de Bienes y Serv. (Nota 21)</t>
  </si>
  <si>
    <t xml:space="preserve">  Cuentas por Cobrar (Nota 7)</t>
  </si>
  <si>
    <t>Tributos por Pagar</t>
  </si>
  <si>
    <t xml:space="preserve">  Intereses por Cobrar (Nota 8)</t>
  </si>
  <si>
    <t>Sueldos por Pagar</t>
  </si>
  <si>
    <t xml:space="preserve">  Inventarios (Nota 9)</t>
  </si>
  <si>
    <t>Tributos Recaudados - Gob. Central (Nota 16)</t>
  </si>
  <si>
    <t xml:space="preserve">  Préstamos Especiales  (Nota 11)</t>
  </si>
  <si>
    <t xml:space="preserve">      Otras Cuentas por Pagar (Nota 17)</t>
  </si>
  <si>
    <t xml:space="preserve">      Pasivos Diferidos  (Nota 18)</t>
  </si>
  <si>
    <t xml:space="preserve">     Total de Activos Corrientes</t>
  </si>
  <si>
    <t>Total de Pasivos Corrientes</t>
  </si>
  <si>
    <t xml:space="preserve">       </t>
  </si>
  <si>
    <t xml:space="preserve">  Pasivos a Largo Plazo:</t>
  </si>
  <si>
    <t xml:space="preserve">  Inversiones a Largo Plazo (Nota 5)</t>
  </si>
  <si>
    <t xml:space="preserve">      Componente de Ahorro Personal</t>
  </si>
  <si>
    <t>del Subsistema  Mixto (Nota 19)</t>
  </si>
  <si>
    <t xml:space="preserve">      Reserva para Contingencias (Nota 20)</t>
  </si>
  <si>
    <t xml:space="preserve">  Inversiones de Depósitos a</t>
  </si>
  <si>
    <t xml:space="preserve">  Plazo Fijo (Nota 6)</t>
  </si>
  <si>
    <t xml:space="preserve">Total de Pasivos a Largo Plazo </t>
  </si>
  <si>
    <t xml:space="preserve">  Préstamos Hipotecarios a</t>
  </si>
  <si>
    <t xml:space="preserve">  Largo Plazo (Nota 10)</t>
  </si>
  <si>
    <t xml:space="preserve">      Contingencias (Nota 24) </t>
  </si>
  <si>
    <t xml:space="preserve">  </t>
  </si>
  <si>
    <t xml:space="preserve">  Préstamos Especiales a</t>
  </si>
  <si>
    <t>Total de Pasivos</t>
  </si>
  <si>
    <t xml:space="preserve">  Largo Plazo (Nota 11)</t>
  </si>
  <si>
    <t xml:space="preserve">  Inmuebles, Maquinaria y Equipo Neto</t>
  </si>
  <si>
    <t>FONDOS:</t>
  </si>
  <si>
    <t xml:space="preserve">  de Depreciación Acumulada (Nota 12)</t>
  </si>
  <si>
    <t xml:space="preserve">  Administración de los  Riesgos (Notas-3 Acápite k)</t>
  </si>
  <si>
    <t xml:space="preserve">      Reservas del Seguro Colectivo de Renta Vitalicia</t>
  </si>
  <si>
    <t xml:space="preserve">      Reservas del Seguro Colectivo de Invalidez</t>
  </si>
  <si>
    <t xml:space="preserve">  Bienes Reposeídos (Nota 13)</t>
  </si>
  <si>
    <t xml:space="preserve">  Riesgo de Enfermedad y Maternidad</t>
  </si>
  <si>
    <t xml:space="preserve">  Riesgo de Invalidez, Vejez y Muerte: </t>
  </si>
  <si>
    <t xml:space="preserve">      Sistema Exclusivamente de Beneficio Definido</t>
  </si>
  <si>
    <t xml:space="preserve">  Bienes Disponibles para la Venta (Nota 14)</t>
  </si>
  <si>
    <t xml:space="preserve">      Subsistema Mixto </t>
  </si>
  <si>
    <t xml:space="preserve">      Fideicomiso de Invalidez, Vejez y Muerte</t>
  </si>
  <si>
    <t xml:space="preserve">  Riesgos Profesionales</t>
  </si>
  <si>
    <t xml:space="preserve">  Otros Activos (Nota 15)</t>
  </si>
  <si>
    <t xml:space="preserve">      Fideicomiso de Riesgos Profesionales</t>
  </si>
  <si>
    <t>Total  Fondos</t>
  </si>
  <si>
    <t>Total de Activos</t>
  </si>
  <si>
    <t>Total del Pasivos y Fondos</t>
  </si>
  <si>
    <t>Las notas que se acompañan forman parte integral de estos estados financieros .</t>
  </si>
  <si>
    <t>BALANCE  GENERAL  POR  RIESGOS</t>
  </si>
  <si>
    <t>Al 31 de Diciembre de 2023</t>
  </si>
  <si>
    <t>ENFERMEDAD  Y</t>
  </si>
  <si>
    <t xml:space="preserve">INVALIDEZ, VEJEZ  </t>
  </si>
  <si>
    <t xml:space="preserve">  RIESGOS    </t>
  </si>
  <si>
    <t>TOTAL</t>
  </si>
  <si>
    <t>ELIMINACIONES</t>
  </si>
  <si>
    <t xml:space="preserve">ADMINISTRACIÓN     </t>
  </si>
  <si>
    <t>MATERNIDAD</t>
  </si>
  <si>
    <t>Y  MUERTE</t>
  </si>
  <si>
    <t xml:space="preserve">  PROFESIONALES   </t>
  </si>
  <si>
    <t xml:space="preserve"> Activos:</t>
  </si>
  <si>
    <t xml:space="preserve">Activos Corrientes  </t>
  </si>
  <si>
    <t>Caja  y  Banco</t>
  </si>
  <si>
    <t>Inversiones</t>
  </si>
  <si>
    <t>Cuentas  por  Cobrar</t>
  </si>
  <si>
    <t>Intereses por Cobrar</t>
  </si>
  <si>
    <t>Cuentas  por  Cobrar  entre  Riesgos</t>
  </si>
  <si>
    <t>Cuentas  por  Cobrar  del Subsistema Mixto</t>
  </si>
  <si>
    <t>Saldos débitos por distribuir</t>
  </si>
  <si>
    <t>Inventarios</t>
  </si>
  <si>
    <t>Préstamos  Hipotecarios</t>
  </si>
  <si>
    <t>Préstamos  Especiales</t>
  </si>
  <si>
    <t xml:space="preserve">  Total de Activos Corrientes</t>
  </si>
  <si>
    <t xml:space="preserve">Inversiones - Largo  Plazo </t>
  </si>
  <si>
    <t>Inversiones de Depósitos a Plazo Fijo</t>
  </si>
  <si>
    <t xml:space="preserve">Préstamos  Hipotecarios  -  Largo  Plazo </t>
  </si>
  <si>
    <t xml:space="preserve">Préstamos  Especiales  -  Largo  Plazo </t>
  </si>
  <si>
    <t xml:space="preserve">Inmuebles,  Maquinaria  y  Equipo, neto </t>
  </si>
  <si>
    <t xml:space="preserve">  de Depreciación  Acumulada </t>
  </si>
  <si>
    <t xml:space="preserve">Bienes  Reposeídos </t>
  </si>
  <si>
    <t>Bienes Disponible para la Venta</t>
  </si>
  <si>
    <t>Otros Activos</t>
  </si>
  <si>
    <t xml:space="preserve"> Total de Activos</t>
  </si>
  <si>
    <t xml:space="preserve">B/. </t>
  </si>
  <si>
    <t xml:space="preserve"> B/.</t>
  </si>
  <si>
    <t xml:space="preserve"> Pasivos y Fondos:</t>
  </si>
  <si>
    <t xml:space="preserve">Pasivos Corrientes  </t>
  </si>
  <si>
    <t xml:space="preserve"> Cuentas por Pagar:</t>
  </si>
  <si>
    <t>Proveedores de Bienes y Servicios</t>
  </si>
  <si>
    <t>Tributos Recaudados - Gobierno Central</t>
  </si>
  <si>
    <t>Otras  Cuentas  por  Pagar</t>
  </si>
  <si>
    <t>Pasivos Diferidos</t>
  </si>
  <si>
    <t>Cuentas  por  Pagar entre Riesgos</t>
  </si>
  <si>
    <t>Cuentas  por  Pagar  al Subsistema Mixto</t>
  </si>
  <si>
    <t>Saldos créditos por distribuir</t>
  </si>
  <si>
    <t xml:space="preserve">  Total de Pasivos Corrientes</t>
  </si>
  <si>
    <t>Pasivos a Largo Plazo:</t>
  </si>
  <si>
    <t>Pasivo a Largo Plazo Subsistema Mixto</t>
  </si>
  <si>
    <t>Reservas Para Contingencias</t>
  </si>
  <si>
    <t xml:space="preserve">  Total  de  Pasivo a Largo Plazo</t>
  </si>
  <si>
    <t xml:space="preserve">  Total  de  Pasivos </t>
  </si>
  <si>
    <t xml:space="preserve"> Fondos Legales</t>
  </si>
  <si>
    <t xml:space="preserve"> Total  de  Pasivos  y  Fondos</t>
  </si>
  <si>
    <t xml:space="preserve"> INVALIDEZ, VEJEZ</t>
  </si>
  <si>
    <t xml:space="preserve">   RIESGOS</t>
  </si>
  <si>
    <t>ADMINISTRACION</t>
  </si>
  <si>
    <t xml:space="preserve">  MATERNIDAD</t>
  </si>
  <si>
    <t xml:space="preserve">     Y MUERTE</t>
  </si>
  <si>
    <t>PROFESIONALES</t>
  </si>
  <si>
    <t>BALANCE  GENERAL  DEL RIESGO DE INVALIDEZ, VEJEZ Y MUERTE</t>
  </si>
  <si>
    <t>Total</t>
  </si>
  <si>
    <t>Sistema Exclusivo</t>
  </si>
  <si>
    <t>Componente de</t>
  </si>
  <si>
    <t xml:space="preserve">Componente de </t>
  </si>
  <si>
    <t>Fideicomisos</t>
  </si>
  <si>
    <t>Beneficio</t>
  </si>
  <si>
    <t>Ahorro</t>
  </si>
  <si>
    <t>Personal</t>
  </si>
  <si>
    <t xml:space="preserve"> Activo:</t>
  </si>
  <si>
    <t>Saldos Débitos por Distribuir</t>
  </si>
  <si>
    <t>Bienes Disponibles para la Venta</t>
  </si>
  <si>
    <t xml:space="preserve"> Total  de  Activos</t>
  </si>
  <si>
    <t xml:space="preserve"> Pasivos y Fondos: </t>
  </si>
  <si>
    <t>Saldos Créditos por Distribuir</t>
  </si>
  <si>
    <t xml:space="preserve">Pasivo a Largo Plazo </t>
  </si>
  <si>
    <t xml:space="preserve">  Total de Pasivos</t>
  </si>
  <si>
    <t>ESTADO  DE  RESULTADO  POR  RIESGOS</t>
  </si>
  <si>
    <t>Para el periódo terminado el 31 de Diciembre de 2023</t>
  </si>
  <si>
    <t/>
  </si>
  <si>
    <t xml:space="preserve"> RIESGOS    </t>
  </si>
  <si>
    <t>TOTALES</t>
  </si>
  <si>
    <t>INVALIDEZ,              VEJEZ             Y           MUERTE</t>
  </si>
  <si>
    <t xml:space="preserve"> PROFESIONALES</t>
  </si>
  <si>
    <t>RIESGOS</t>
  </si>
  <si>
    <t>SUBSISTEMA EXC. DE</t>
  </si>
  <si>
    <t xml:space="preserve">SUBSISTEMA </t>
  </si>
  <si>
    <t>BENEF. DEFINIDO</t>
  </si>
  <si>
    <t>MIXTO</t>
  </si>
  <si>
    <t>FIDEICOMISOS</t>
  </si>
  <si>
    <t>INGRESOS</t>
  </si>
  <si>
    <t>Cuotas Regulares y Especiales</t>
  </si>
  <si>
    <t>Cuotas Regulares</t>
  </si>
  <si>
    <t>Jubilados y Pensionados</t>
  </si>
  <si>
    <t>Asegurados Voluntarios</t>
  </si>
  <si>
    <t>Maternidad e Incapacidad</t>
  </si>
  <si>
    <t>Independiente</t>
  </si>
  <si>
    <t>XIII  Mes</t>
  </si>
  <si>
    <t xml:space="preserve">Plan de Retiro Anticipado Autofinanciable </t>
  </si>
  <si>
    <t>Prima de Riesgos Profesionales</t>
  </si>
  <si>
    <t>TOTAL  DE  INGRESOS</t>
  </si>
  <si>
    <t xml:space="preserve">COSTOS Y GASTOS </t>
  </si>
  <si>
    <t>Prestaciones Económicas</t>
  </si>
  <si>
    <t>Pensión  de  Vejez</t>
  </si>
  <si>
    <t>Pensión  de  Vejez - FEJUPEN</t>
  </si>
  <si>
    <t>Pensión  de  Vejez - Fondo de Ajuste</t>
  </si>
  <si>
    <t xml:space="preserve">Pensión  de  Vejez - Fideicomiso de I V M </t>
  </si>
  <si>
    <t>Asignación  Familiar  por  Vejez</t>
  </si>
  <si>
    <t xml:space="preserve">Bonificación a la Pensión de Vejez </t>
  </si>
  <si>
    <t>Pensión  de  Vejez  Anticipada</t>
  </si>
  <si>
    <t>Pensión  de  Vejez  Anticipada - FEJUPEN</t>
  </si>
  <si>
    <t>Pensión  de  Vejez  Anticipada - Fondo de Ajuste</t>
  </si>
  <si>
    <t xml:space="preserve">Pensión de Vejez Anticipada - Fideicomiso  de  IVM </t>
  </si>
  <si>
    <t>Bonificación a la Pensión de Vejez  Anticipada</t>
  </si>
  <si>
    <t>Asignación  Familiar  por  Vejez  Anticipada</t>
  </si>
  <si>
    <t>Pensión  de  Invalidez</t>
  </si>
  <si>
    <t>Pensión  de  Invalidez - FEJUPEN</t>
  </si>
  <si>
    <t>Pensión  de  Invalidez - Fondo de ajuste</t>
  </si>
  <si>
    <t xml:space="preserve">Pensión  de  Invalidez - Fideicomiso de I V M </t>
  </si>
  <si>
    <t>Bonificación a la Pensión de Invalidez</t>
  </si>
  <si>
    <t>Asignación  Familiar  por  Invalidez</t>
  </si>
  <si>
    <t>Indemnización de Invalidez</t>
  </si>
  <si>
    <t>Indemnización por Riesgos Profesionales</t>
  </si>
  <si>
    <t>Pensión  de  Sobreviviente</t>
  </si>
  <si>
    <t>Pensión  de  Sobreviviente - FEJUPEN</t>
  </si>
  <si>
    <t>Pensión  de  Sobreviviente - Fondo de ajuste</t>
  </si>
  <si>
    <t xml:space="preserve">Pensión  de  Sobreviviente - Fideicomiso  de I V M </t>
  </si>
  <si>
    <t>Bonificación a la Pensión de Sobreviviente</t>
  </si>
  <si>
    <t>Aumento a la Pensión de Sobreviviente Decreto de Gab 51</t>
  </si>
  <si>
    <t>Jubilados del Estado-Incapacidad Física - FEJUPEN</t>
  </si>
  <si>
    <t>Jubilados del Estado-Incapacidad Física - Fondo de Ajuste</t>
  </si>
  <si>
    <t xml:space="preserve">Jubilados del Estado-Inc. Física - Fideicomiso de I V M </t>
  </si>
  <si>
    <t>Bonificación Jubilados del Estado-Incapacidad Física</t>
  </si>
  <si>
    <t>Jubilados del Estado- Antigüedad de Servicios - FEJUPEN</t>
  </si>
  <si>
    <t>Jubilados del Estado- Antigüedad de Serv. - Fondo de Ajuste</t>
  </si>
  <si>
    <t>Jubilados del Estado- Ant. de Serv. - Fideicomiso de IVM</t>
  </si>
  <si>
    <t xml:space="preserve">Bonificación Jubilados del Estado- Ant. de Servicio </t>
  </si>
  <si>
    <t>Renta  Vitalicia</t>
  </si>
  <si>
    <t>Auxilio  de  Funerales</t>
  </si>
  <si>
    <t>Indemnizaciones de Vejez</t>
  </si>
  <si>
    <t>Subsidios  de  Incapacidad</t>
  </si>
  <si>
    <t>Subsidios  de  Maternidad</t>
  </si>
  <si>
    <t>Beneficios de Lentes</t>
  </si>
  <si>
    <t>Beneficios de Prótesis  Dental</t>
  </si>
  <si>
    <t>Asistencia  Social</t>
  </si>
  <si>
    <t>Pensión  de  Incapacidad  Permanente  Absoluta</t>
  </si>
  <si>
    <t>Pensión  de  Incapacidad  Permanente  Absoluta - FEJUPEN</t>
  </si>
  <si>
    <t>Pensión  de  Inc. Permanente Absoluta - Fondo de Ajuste</t>
  </si>
  <si>
    <t xml:space="preserve">Pensión  de  Inc. Perm. Absoluta - Fideicomiso de I V M </t>
  </si>
  <si>
    <t xml:space="preserve">Bonificación Pensión  de  Inc. Perm. Absoluta </t>
  </si>
  <si>
    <t>Pensión  de  Incapacidad  Permanente  Parcial</t>
  </si>
  <si>
    <t>Pensión  de  Incapacidad  Permanente  Parcial - FEJUPEN</t>
  </si>
  <si>
    <t>Indemnizaciones del Sobreviviente</t>
  </si>
  <si>
    <t>Pensión de Vejez Sector Agrícola y de la Construcción</t>
  </si>
  <si>
    <t>Pensión  de  Vejez  Anticipada - Sector Bananero</t>
  </si>
  <si>
    <t>Pensión de Vejez por Edad Anticipada Art. 170 Numeral Nº 2</t>
  </si>
  <si>
    <t>Pensión de Vejez Proporcional Art. 170  Numeral Nº 3</t>
  </si>
  <si>
    <t>Pensión de Vejez Proporcional por Edad Anticipada Art. 170 Numeral Nº 4</t>
  </si>
  <si>
    <t>Pensión por Invalidez Ley N°45 2017 Bananeras</t>
  </si>
  <si>
    <t>Bono Art. N°3 Ley N°70 I.V.M</t>
  </si>
  <si>
    <t>Indemnizaciones con cargo al Tes Nal Ley 70</t>
  </si>
  <si>
    <t>Aumento a Jubilados y Pensionados - Ley Nº 70</t>
  </si>
  <si>
    <t>Aumento a Jubilados y Pensionados - Ley Nº 27</t>
  </si>
  <si>
    <t>Indemnizaciones Especiales</t>
  </si>
  <si>
    <t>Fideicomiso IHRE e INTEL</t>
  </si>
  <si>
    <t>Pensión Vitalicia Afectados Dietilenglicol</t>
  </si>
  <si>
    <t>Pensión de Sobreviviente Afectados Dietilenglicol</t>
  </si>
  <si>
    <t>Pensión Vitalicia Ley 28</t>
  </si>
  <si>
    <t>Pensión de Sobreviviente Ley 28</t>
  </si>
  <si>
    <t>Apoyo Económico Ley 28</t>
  </si>
  <si>
    <t>Emergencia Nacional</t>
  </si>
  <si>
    <t>Gasto de Emergencia Nacional</t>
  </si>
  <si>
    <t>Otras Transferencias</t>
  </si>
  <si>
    <t>Adiestramiento y Capacitación</t>
  </si>
  <si>
    <t>Subsidios Deportivos</t>
  </si>
  <si>
    <t>Donativos a Personas</t>
  </si>
  <si>
    <t>Gastos de Personal</t>
  </si>
  <si>
    <t>Gratificación a Funcionarios C.S.S.</t>
  </si>
  <si>
    <t>Gastos Diversos de Personal XIII Mes</t>
  </si>
  <si>
    <t>Cotizaciones Patronales C.S.S.</t>
  </si>
  <si>
    <t>Bonificaciones por Antigüedad</t>
  </si>
  <si>
    <t>Viaticos</t>
  </si>
  <si>
    <t>Costos y Gastos Operativos</t>
  </si>
  <si>
    <t>Combustibles y Lubricantes</t>
  </si>
  <si>
    <t>Repuestos</t>
  </si>
  <si>
    <t>Materiales para Mantenimiento</t>
  </si>
  <si>
    <t>Materiales y Utiles de Oficina</t>
  </si>
  <si>
    <t>Materiales de Impresión</t>
  </si>
  <si>
    <t>Productos Químicos y Farmaceúticos</t>
  </si>
  <si>
    <t>Materiales y Utiles Quirúrgicos</t>
  </si>
  <si>
    <t>Otros Gastos Operativos</t>
  </si>
  <si>
    <t>Transporte Flete y Almacenaje</t>
  </si>
  <si>
    <t>Correos y Telecomunicaciones</t>
  </si>
  <si>
    <t>Honorarios Comisiones y Corretajes</t>
  </si>
  <si>
    <t>Mantenimiento y Reparación</t>
  </si>
  <si>
    <t>Alquileres</t>
  </si>
  <si>
    <t>Electricidad Agua y Aseo</t>
  </si>
  <si>
    <t>Publicidad y Relaciones Públicas</t>
  </si>
  <si>
    <t>Otros Servicios prestados a terceros</t>
  </si>
  <si>
    <t>Otros Gastos Operativos y Dirversos de Gestión</t>
  </si>
  <si>
    <t>Gastos Financieros</t>
  </si>
  <si>
    <t>Instrumentos Financieros</t>
  </si>
  <si>
    <t>Provisión del Ejercicio</t>
  </si>
  <si>
    <t>TOTAL DE COSTOS Y GASTOS</t>
  </si>
  <si>
    <t>OTROS INGRESOS Y GASTOS</t>
  </si>
  <si>
    <t>Ingresos Financieros</t>
  </si>
  <si>
    <t>Intereses sobre Bonos -Bonos Tesoro Nal</t>
  </si>
  <si>
    <t>Intereses Bonos Globales</t>
  </si>
  <si>
    <t>Intereses Bonos Corporativos</t>
  </si>
  <si>
    <t>Intereses Bonos Rotativos</t>
  </si>
  <si>
    <t>Intereses sobre prestamos hipotecarios terreno</t>
  </si>
  <si>
    <t>Asoc de Empleados CSS</t>
  </si>
  <si>
    <t>Intereses Dep Plazo fijo</t>
  </si>
  <si>
    <t>Intereses Dep Plazo fijo Centro de Prestamos</t>
  </si>
  <si>
    <t>Intereses sobre Notas del Tesoro</t>
  </si>
  <si>
    <t>Intereses sobre Notas Redimibles - BID</t>
  </si>
  <si>
    <t xml:space="preserve">Intereses por Morosidad Aporte Plan F. Complementario </t>
  </si>
  <si>
    <t>Intereses por Morosidad Aporte Pensiones D.Gabinete N°51</t>
  </si>
  <si>
    <t>Intereses por Morosidad Pensiones Dietilenglicol</t>
  </si>
  <si>
    <t>Intereses por Morosidad Pensiones Heparina</t>
  </si>
  <si>
    <t>Intereses por Morosidad Aporte Indemnizaciones Ley N°70</t>
  </si>
  <si>
    <t>Intereses por Morosidad Aporte Aumento Ley N°70</t>
  </si>
  <si>
    <t>Intereses por Morosidad Aporte Pensión de Viudez</t>
  </si>
  <si>
    <t>Intereses por Morosidad Aporte Aumento Pensiones Ley N°22</t>
  </si>
  <si>
    <t>Intereses por Morosidad Aporte Aumento Pensiones Ley N°27</t>
  </si>
  <si>
    <t>Intereses por Morosidad Ley N°28 de Mayo 2015 Chaguinola BT</t>
  </si>
  <si>
    <t xml:space="preserve">Intereses por Morosidad Gob. Cent Aporte Atención de Salud </t>
  </si>
  <si>
    <t>Intereses por Morosidad Gob. Cent Aporte Beb y Licores</t>
  </si>
  <si>
    <t>Intereses por Cobrar Bonos del Tesoro Pmá 2029</t>
  </si>
  <si>
    <t>Banco Hipotecario Nacional XIII MES</t>
  </si>
  <si>
    <t>Prestamos Hipotecarios para compra de Terreno</t>
  </si>
  <si>
    <t>Aporte Especial de los Empleadores</t>
  </si>
  <si>
    <t>Int. por Desc. En Compra de Instrumento Financieros</t>
  </si>
  <si>
    <t>Intereses por Morosidad Gob. Central Aporte 8% Salario</t>
  </si>
  <si>
    <t>Intereses por Morosidad Gob. Central Aporte 5.00 FEJUPEN</t>
  </si>
  <si>
    <t>Sanciones a la Ley N°51 de la C.S.S. Dic. 2005</t>
  </si>
  <si>
    <t>Intereses por Morosidad Pens. Bananeras</t>
  </si>
  <si>
    <t>Intereses por Morosidad Pensión Sub Sistema Mixto</t>
  </si>
  <si>
    <t>5% de Intereses sobre Prima Seg. Moroso P. Hopotecario</t>
  </si>
  <si>
    <t>Intereses sobre Morosidad Pensiones Intoxicación Heparina</t>
  </si>
  <si>
    <t>Ingresos Diversos de Gestión</t>
  </si>
  <si>
    <t>Multas y Recargos</t>
  </si>
  <si>
    <t>Cobranzas del 10% Primas Riesgos Profesionales</t>
  </si>
  <si>
    <t>Servicios de Salud</t>
  </si>
  <si>
    <t>Servicios de Salud  Seguro Voluntario</t>
  </si>
  <si>
    <t>Alquileres Renta</t>
  </si>
  <si>
    <t>Otros Alquileres</t>
  </si>
  <si>
    <t>Servicios  Descuentos 1.5%</t>
  </si>
  <si>
    <t>Primas de Seguros</t>
  </si>
  <si>
    <t xml:space="preserve">Compensación por Servicios de Retención y </t>
  </si>
  <si>
    <t xml:space="preserve">  Transferencia del Seguro Educativo</t>
  </si>
  <si>
    <t>Ingresos Varios-Cesiones de Crédito</t>
  </si>
  <si>
    <t>Duplicados Carnet</t>
  </si>
  <si>
    <t>Fotos</t>
  </si>
  <si>
    <t>Paz y Salvo</t>
  </si>
  <si>
    <t>Comision por ACH</t>
  </si>
  <si>
    <t>Certificación a Empleadores</t>
  </si>
  <si>
    <t>Certificación a Empleadores Inactivos No Morosos</t>
  </si>
  <si>
    <t>Certificación de Saldo Cartera de Prestamos</t>
  </si>
  <si>
    <t>Fianzas por Incumplimiento de Contrato</t>
  </si>
  <si>
    <t>Ventas de Tanques y Productos de Lavandería</t>
  </si>
  <si>
    <t xml:space="preserve">Ingresos por multas a Empresas por Negociación a </t>
  </si>
  <si>
    <t xml:space="preserve">  Conceder descuentos a Jubilados y Pensionados</t>
  </si>
  <si>
    <t>Comisiones Ganadas en Calidad de Fiduciario</t>
  </si>
  <si>
    <t>Donaciones Recibidas - Bienes de Consumo</t>
  </si>
  <si>
    <t>Intereses por Mor. Gob Central Aporte a la JTA</t>
  </si>
  <si>
    <t>Alcances de Auditoría</t>
  </si>
  <si>
    <t>Ingresos Ganados Centro de Prestamos</t>
  </si>
  <si>
    <t>Ingresos por Intereses Prestamos a Funcionarios</t>
  </si>
  <si>
    <t>Intereses Ganados por Cuota Empleado, Empleador</t>
  </si>
  <si>
    <t>Recargo Cuota Empleado - Empleador</t>
  </si>
  <si>
    <t>Intereses por Prima de Riesgos Profesionales</t>
  </si>
  <si>
    <t>Int por Prestamos Proyecto Colectivo Viv 12% Efectivo</t>
  </si>
  <si>
    <t>Intereses por Imcumplimiento de Beca</t>
  </si>
  <si>
    <t>Int. 1% por Morosidad Deuda Vencida al Estado</t>
  </si>
  <si>
    <t>Int.Sobre Morosidad Apo Imp Consumo Beb, Alcoh y Gaseosas</t>
  </si>
  <si>
    <t>Compra y Venta de Documentos</t>
  </si>
  <si>
    <t>Finiquitos y Fianzas de Cumplimientos</t>
  </si>
  <si>
    <t>Centro de Orientación Infantil COIF-CSS</t>
  </si>
  <si>
    <t>Pago de Examenes para Transplante</t>
  </si>
  <si>
    <t>Pago de Planilla (IRHE - INTEL)</t>
  </si>
  <si>
    <t>Varios</t>
  </si>
  <si>
    <t>Descuento en Compra de Instrumentos Financieros</t>
  </si>
  <si>
    <t>Prima de Seguros Colectivos</t>
  </si>
  <si>
    <t>Seguro Colectivo de Renta Vitalicia</t>
  </si>
  <si>
    <t>Seguro Colectivo de Invalidez</t>
  </si>
  <si>
    <t>Gastos Diversos de Gestión</t>
  </si>
  <si>
    <t>10% de la Prima de Riesgos Profesionales</t>
  </si>
  <si>
    <t>TOTAL  DE  OTROS  INGRESOS Y GASTOS</t>
  </si>
  <si>
    <t>RESULTADO ANTES DE APORTES DEL ESTADO</t>
  </si>
  <si>
    <t>APORTES DEL ESTADO</t>
  </si>
  <si>
    <t>Transferencias Corrientes</t>
  </si>
  <si>
    <t>.8% Salarios Básicos (asegurados)</t>
  </si>
  <si>
    <t>.8% Salarios Básicos (Jubilados  del  Estado)</t>
  </si>
  <si>
    <t>Aporte del 2% S/Saldo de los Valores del Estado</t>
  </si>
  <si>
    <t>Impuesto Selectivo al Consumo de Bebidas</t>
  </si>
  <si>
    <t xml:space="preserve">  Gaseosas, Alcohólicas y Cigarrillos</t>
  </si>
  <si>
    <t>Aporte del Estado - Junta Técnica Actuarial</t>
  </si>
  <si>
    <t>Aporte  para hacer frente al Aumento de B/.5.00</t>
  </si>
  <si>
    <t xml:space="preserve">  Otorgados a pensionados y jubilados - FEJUPEN</t>
  </si>
  <si>
    <t>Aporte del Estado para la Atención de Salud Art. 222 Ley 51</t>
  </si>
  <si>
    <t>Aporte por Aumento Ley N°70  de Sept. 2011</t>
  </si>
  <si>
    <t>Aporte por Aumento Ley N°27  4 de Mayo 2015</t>
  </si>
  <si>
    <t xml:space="preserve">Indemnización del Est. Por Aumento a Pensionados Ley N°70 </t>
  </si>
  <si>
    <t>Aporte para responder a Aumento a Pens. Minima</t>
  </si>
  <si>
    <t>Aporte del Est. Pen. de Viudez DEC. GAB N°33 25 Nov 2014</t>
  </si>
  <si>
    <t>Aporte Est 6% Pens Vejez Ant-Sector Bananero LEY 45</t>
  </si>
  <si>
    <t>Aporte Est 2.5% Emp Pens Sector Bananero</t>
  </si>
  <si>
    <t>Aporte del Est Pens de Inv. Sector Bananero Ley - 27</t>
  </si>
  <si>
    <t>Aporte del Estado Pensión Vitalicia - Dietilenglicol</t>
  </si>
  <si>
    <t>Aporte del Estado Pensión Sobreviviente - Dietilenglicol</t>
  </si>
  <si>
    <t xml:space="preserve">Aporte del Estado Pens Vitalicia y Sobreviviente Ley N°28 </t>
  </si>
  <si>
    <t xml:space="preserve">Aporte del Estado Apoyo Económico Ley N°28 </t>
  </si>
  <si>
    <t>Aporte del Estado Pensión Vitalcia - Heparina Ley N°64</t>
  </si>
  <si>
    <t>Aporte del Estado Pensión Sobreviviente - Heparina Ley N°64</t>
  </si>
  <si>
    <t>RESULTADO ANTES DE INGRESOS</t>
  </si>
  <si>
    <t>DE PERÍODOS ANTERIORES</t>
  </si>
  <si>
    <t>INGRESOS DE PERIODOS ANTERIORES</t>
  </si>
  <si>
    <t xml:space="preserve">Cuotas Regulares </t>
  </si>
  <si>
    <t>Cuota de XIII Mes</t>
  </si>
  <si>
    <t>Intereses por Morosidad en Aporte del Estado</t>
  </si>
  <si>
    <t>Intereses Ganados Centro de Prestamos</t>
  </si>
  <si>
    <t xml:space="preserve">Ingresos Financieros </t>
  </si>
  <si>
    <t>Desc en Compra Documentos Financ</t>
  </si>
  <si>
    <t>Ingresos Diversos Gestión de Ejercicios Anteriores</t>
  </si>
  <si>
    <t>TOTAL DE INGRESOS DE PERÍODOS ANTERIORES</t>
  </si>
  <si>
    <t>GASTOS DE PERIODOS ANTERIORES</t>
  </si>
  <si>
    <t>Gasto de Personal</t>
  </si>
  <si>
    <t xml:space="preserve">Gastos Diversos de Gestión </t>
  </si>
  <si>
    <t xml:space="preserve">Costos y Gastos Operativos </t>
  </si>
  <si>
    <t>Gasto de 10% de la Prima de Riesgos Profesionales</t>
  </si>
  <si>
    <t>Bienes de Consumo</t>
  </si>
  <si>
    <t>Otros Gastos Extraordinarios</t>
  </si>
  <si>
    <t>TOTAL DE GASTOS DE PERÍODOS ANTERIORES</t>
  </si>
  <si>
    <t xml:space="preserve">RESULTADOS DE PERÍODOS ANTERIORES ANTES DE </t>
  </si>
  <si>
    <t xml:space="preserve"> APORTES DEL ESTADO - PERÍODO ANTERIOR</t>
  </si>
  <si>
    <t xml:space="preserve">Transferencias de Períodos Anteriores- .8% Salarios Básicos </t>
  </si>
  <si>
    <t>Resultados de Operaciones de Períodos Anteriores</t>
  </si>
  <si>
    <t>Resultados del Ejercicio antes de Aportes Extraordinarios</t>
  </si>
  <si>
    <t>Aportes para la Sostenibilidad del Régimen de I.V.M.</t>
  </si>
  <si>
    <t>Año 2020</t>
  </si>
  <si>
    <t>RESULTADO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</si>
</sst>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164" formatCode="General_)"/>
    <numFmt numFmtId="165" formatCode="#,##0\ \ ;[Red]\(#,##0\)\ "/>
    <numFmt numFmtId="166" formatCode="\ #,##0\ \ ;[Red]\(#,##0\)\ "/>
    <numFmt numFmtId="167" formatCode="#,##0\ \ ;\(#,##0\)\ "/>
    <numFmt numFmtId="168" formatCode="#,##0.00\ \ ;[Red]\(#,##0.00\)\ "/>
    <numFmt numFmtId="169" formatCode="0_);\(0\)"/>
    <numFmt numFmtId="170" formatCode="#,##0.00_ ;[Red]\-#,##0.00\ "/>
    <numFmt numFmtId="171" formatCode="#,##0\ \ ;[Red]\(#,##0.00\)\ "/>
    <numFmt numFmtId="172" formatCode="#,##0\ ;[Red]\(#,##0\)\ "/>
    <numFmt numFmtId="173" formatCode="#,##0\ ;\(#,##0\)\ "/>
    <numFmt numFmtId="174" formatCode="#,##0.00\ "/>
    <numFmt numFmtId="175" formatCode="#,##0.00_ ;\-#,##0.00\ "/>
    <numFmt numFmtId="176" formatCode="#,##0.00;\(#,##0.00\)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Helv"/>
    </font>
    <font>
      <sz val="12"/>
      <name val="Times New Roman"/>
      <family val="1"/>
    </font>
    <font>
      <sz val="19"/>
      <name val="Times New Roman"/>
      <family val="1"/>
    </font>
    <font>
      <b/>
      <sz val="26"/>
      <name val="Arial"/>
      <family val="2"/>
    </font>
    <font>
      <sz val="22"/>
      <name val="Arial"/>
      <family val="2"/>
    </font>
    <font>
      <b/>
      <sz val="20"/>
      <name val="Times New Roman"/>
      <family val="1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5"/>
      <name val="Arial"/>
      <family val="2"/>
    </font>
    <font>
      <b/>
      <sz val="15"/>
      <name val="Arial"/>
      <family val="2"/>
    </font>
    <font>
      <sz val="15"/>
      <color theme="0"/>
      <name val="Arial"/>
      <family val="2"/>
    </font>
    <font>
      <sz val="17"/>
      <name val="Times New Roman"/>
      <family val="1"/>
    </font>
    <font>
      <sz val="12"/>
      <color indexed="9"/>
      <name val="Times New Roman"/>
      <family val="1"/>
    </font>
    <font>
      <b/>
      <sz val="30"/>
      <name val="Arial"/>
      <family val="2"/>
    </font>
    <font>
      <b/>
      <sz val="30"/>
      <name val="Times New Roman"/>
      <family val="1"/>
    </font>
    <font>
      <sz val="26"/>
      <name val="Arial"/>
      <family val="2"/>
    </font>
    <font>
      <b/>
      <sz val="26"/>
      <name val="Times New Roman"/>
      <family val="1"/>
    </font>
    <font>
      <u/>
      <sz val="1"/>
      <color indexed="9"/>
      <name val="Arial"/>
      <family val="2"/>
    </font>
    <font>
      <u/>
      <sz val="20"/>
      <name val="Arial"/>
      <family val="2"/>
    </font>
    <font>
      <sz val="14"/>
      <name val="Arial"/>
      <family val="2"/>
    </font>
    <font>
      <sz val="12"/>
      <color indexed="9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9"/>
      <name val="Arial"/>
      <family val="2"/>
    </font>
    <font>
      <sz val="18"/>
      <name val="Arial"/>
      <family val="2"/>
    </font>
    <font>
      <sz val="18"/>
      <color indexed="9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b/>
      <sz val="19"/>
      <name val="Arial"/>
      <family val="2"/>
    </font>
    <font>
      <b/>
      <sz val="18"/>
      <name val="Arial"/>
      <family val="2"/>
    </font>
    <font>
      <sz val="18.5"/>
      <name val="Arial"/>
      <family val="2"/>
    </font>
    <font>
      <b/>
      <sz val="20"/>
      <name val="Arial"/>
      <family val="2"/>
    </font>
    <font>
      <sz val="16"/>
      <name val="Times New Roman"/>
      <family val="1"/>
    </font>
    <font>
      <sz val="18"/>
      <name val="Times New Roman"/>
      <family val="1"/>
    </font>
    <font>
      <sz val="14"/>
      <name val="Times New Roman"/>
      <family val="1"/>
    </font>
    <font>
      <u/>
      <sz val="14"/>
      <name val="Arial"/>
      <family val="2"/>
    </font>
    <font>
      <b/>
      <u/>
      <sz val="15"/>
      <name val="Arial"/>
      <family val="2"/>
    </font>
    <font>
      <b/>
      <u/>
      <sz val="16"/>
      <name val="Arial"/>
      <family val="2"/>
    </font>
    <font>
      <b/>
      <sz val="17"/>
      <name val="Arial"/>
      <family val="2"/>
    </font>
    <font>
      <sz val="20"/>
      <name val="Times New Roman"/>
      <family val="1"/>
    </font>
    <font>
      <b/>
      <sz val="22"/>
      <name val="Times New Roman"/>
      <family val="1"/>
    </font>
    <font>
      <sz val="15"/>
      <name val="Times New Roman"/>
      <family val="1"/>
    </font>
    <font>
      <u/>
      <sz val="15"/>
      <name val="Arial"/>
      <family val="2"/>
    </font>
    <font>
      <sz val="12"/>
      <name val="Calibri"/>
      <family val="2"/>
      <scheme val="minor"/>
    </font>
    <font>
      <b/>
      <sz val="15"/>
      <color theme="0"/>
      <name val="Arial"/>
      <family val="2"/>
    </font>
    <font>
      <sz val="15"/>
      <color theme="1"/>
      <name val="Arial"/>
      <family val="2"/>
    </font>
    <font>
      <sz val="11"/>
      <name val="Arial"/>
      <family val="2"/>
    </font>
    <font>
      <sz val="11"/>
      <name val="Verdana"/>
      <family val="2"/>
    </font>
    <font>
      <b/>
      <sz val="2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3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164" fontId="2" fillId="0" borderId="0"/>
    <xf numFmtId="164" fontId="2" fillId="0" borderId="0"/>
    <xf numFmtId="37" fontId="2" fillId="0" borderId="0"/>
    <xf numFmtId="37" fontId="2" fillId="0" borderId="0"/>
    <xf numFmtId="37" fontId="2" fillId="0" borderId="0"/>
    <xf numFmtId="37" fontId="2" fillId="0" borderId="0"/>
  </cellStyleXfs>
  <cellXfs count="419">
    <xf numFmtId="0" fontId="0" fillId="0" borderId="0" xfId="0"/>
    <xf numFmtId="164" fontId="3" fillId="2" borderId="0" xfId="2" applyFont="1" applyFill="1"/>
    <xf numFmtId="164" fontId="3" fillId="2" borderId="1" xfId="2" applyFont="1" applyFill="1" applyBorder="1"/>
    <xf numFmtId="164" fontId="3" fillId="2" borderId="2" xfId="2" applyFont="1" applyFill="1" applyBorder="1"/>
    <xf numFmtId="164" fontId="4" fillId="2" borderId="2" xfId="2" quotePrefix="1" applyFont="1" applyFill="1" applyBorder="1" applyAlignment="1">
      <alignment horizontal="centerContinuous"/>
    </xf>
    <xf numFmtId="164" fontId="3" fillId="2" borderId="3" xfId="2" applyFont="1" applyFill="1" applyBorder="1"/>
    <xf numFmtId="164" fontId="5" fillId="2" borderId="4" xfId="2" applyFont="1" applyFill="1" applyBorder="1" applyAlignment="1">
      <alignment horizontal="centerContinuous" vertical="center"/>
    </xf>
    <xf numFmtId="164" fontId="5" fillId="2" borderId="0" xfId="2" applyFont="1" applyFill="1" applyAlignment="1">
      <alignment horizontal="centerContinuous" vertical="center"/>
    </xf>
    <xf numFmtId="164" fontId="5" fillId="2" borderId="5" xfId="2" applyFont="1" applyFill="1" applyBorder="1" applyAlignment="1">
      <alignment horizontal="centerContinuous" vertical="center"/>
    </xf>
    <xf numFmtId="37" fontId="3" fillId="2" borderId="0" xfId="2" applyNumberFormat="1" applyFont="1" applyFill="1"/>
    <xf numFmtId="164" fontId="6" fillId="2" borderId="4" xfId="2" applyFont="1" applyFill="1" applyBorder="1" applyAlignment="1">
      <alignment horizontal="centerContinuous" vertical="center"/>
    </xf>
    <xf numFmtId="164" fontId="6" fillId="2" borderId="0" xfId="2" applyFont="1" applyFill="1" applyAlignment="1">
      <alignment horizontal="centerContinuous" vertical="center"/>
    </xf>
    <xf numFmtId="164" fontId="6" fillId="2" borderId="5" xfId="2" applyFont="1" applyFill="1" applyBorder="1" applyAlignment="1">
      <alignment horizontal="centerContinuous" vertical="center"/>
    </xf>
    <xf numFmtId="164" fontId="6" fillId="2" borderId="4" xfId="2" applyFont="1" applyFill="1" applyBorder="1" applyAlignment="1" applyProtection="1">
      <alignment horizontal="centerContinuous" vertical="center"/>
      <protection locked="0"/>
    </xf>
    <xf numFmtId="164" fontId="6" fillId="2" borderId="0" xfId="2" applyFont="1" applyFill="1" applyAlignment="1" applyProtection="1">
      <alignment horizontal="centerContinuous" vertical="center"/>
      <protection locked="0"/>
    </xf>
    <xf numFmtId="164" fontId="6" fillId="2" borderId="5" xfId="2" applyFont="1" applyFill="1" applyBorder="1" applyAlignment="1" applyProtection="1">
      <alignment horizontal="centerContinuous" vertical="center"/>
      <protection locked="0"/>
    </xf>
    <xf numFmtId="164" fontId="7" fillId="2" borderId="0" xfId="3" applyFont="1" applyFill="1" applyAlignment="1" applyProtection="1">
      <alignment horizontal="center" vertical="center"/>
      <protection locked="0"/>
    </xf>
    <xf numFmtId="164" fontId="8" fillId="2" borderId="4" xfId="2" applyFont="1" applyFill="1" applyBorder="1"/>
    <xf numFmtId="164" fontId="8" fillId="2" borderId="0" xfId="2" applyFont="1" applyFill="1"/>
    <xf numFmtId="164" fontId="8" fillId="2" borderId="5" xfId="2" applyFont="1" applyFill="1" applyBorder="1"/>
    <xf numFmtId="37" fontId="8" fillId="2" borderId="0" xfId="2" applyNumberFormat="1" applyFont="1" applyFill="1"/>
    <xf numFmtId="164" fontId="9" fillId="2" borderId="0" xfId="2" applyFont="1" applyFill="1"/>
    <xf numFmtId="164" fontId="10" fillId="2" borderId="0" xfId="2" applyFont="1" applyFill="1"/>
    <xf numFmtId="164" fontId="10" fillId="2" borderId="0" xfId="2" quotePrefix="1" applyFont="1" applyFill="1" applyAlignment="1">
      <alignment vertical="center" wrapText="1"/>
    </xf>
    <xf numFmtId="0" fontId="0" fillId="2" borderId="0" xfId="0" applyFill="1"/>
    <xf numFmtId="164" fontId="10" fillId="2" borderId="0" xfId="2" quotePrefix="1" applyFont="1" applyFill="1" applyAlignment="1">
      <alignment horizontal="center" vertical="center" wrapText="1"/>
    </xf>
    <xf numFmtId="164" fontId="9" fillId="2" borderId="5" xfId="2" applyFont="1" applyFill="1" applyBorder="1" applyAlignment="1">
      <alignment horizontal="centerContinuous"/>
    </xf>
    <xf numFmtId="164" fontId="11" fillId="2" borderId="0" xfId="2" applyFont="1" applyFill="1"/>
    <xf numFmtId="164" fontId="11" fillId="2" borderId="5" xfId="2" applyFont="1" applyFill="1" applyBorder="1"/>
    <xf numFmtId="164" fontId="10" fillId="2" borderId="0" xfId="2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quotePrefix="1" applyFont="1" applyFill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64" fontId="10" fillId="2" borderId="6" xfId="2" quotePrefix="1" applyFont="1" applyFill="1" applyBorder="1" applyAlignment="1">
      <alignment horizontal="center" vertical="center" wrapText="1"/>
    </xf>
    <xf numFmtId="164" fontId="10" fillId="2" borderId="6" xfId="2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164" fontId="8" fillId="2" borderId="4" xfId="2" quotePrefix="1" applyFont="1" applyFill="1" applyBorder="1"/>
    <xf numFmtId="164" fontId="10" fillId="2" borderId="4" xfId="2" quotePrefix="1" applyFont="1" applyFill="1" applyBorder="1" applyAlignment="1">
      <alignment horizontal="left" vertical="center"/>
    </xf>
    <xf numFmtId="164" fontId="10" fillId="2" borderId="0" xfId="2" applyFont="1" applyFill="1" applyAlignment="1">
      <alignment horizontal="left" vertical="center"/>
    </xf>
    <xf numFmtId="164" fontId="9" fillId="2" borderId="0" xfId="2" quotePrefix="1" applyFont="1" applyFill="1" applyAlignment="1">
      <alignment horizontal="right"/>
    </xf>
    <xf numFmtId="165" fontId="12" fillId="2" borderId="0" xfId="2" applyNumberFormat="1" applyFont="1" applyFill="1"/>
    <xf numFmtId="166" fontId="11" fillId="2" borderId="0" xfId="2" applyNumberFormat="1" applyFont="1" applyFill="1"/>
    <xf numFmtId="164" fontId="8" fillId="2" borderId="0" xfId="2" applyFont="1" applyFill="1" applyAlignment="1">
      <alignment vertical="center"/>
    </xf>
    <xf numFmtId="3" fontId="11" fillId="2" borderId="0" xfId="2" applyNumberFormat="1" applyFont="1" applyFill="1" applyAlignment="1">
      <alignment vertical="center"/>
    </xf>
    <xf numFmtId="164" fontId="10" fillId="2" borderId="0" xfId="2" quotePrefix="1" applyFont="1" applyFill="1" applyAlignment="1">
      <alignment horizontal="left" vertical="center" wrapText="1"/>
    </xf>
    <xf numFmtId="166" fontId="11" fillId="3" borderId="0" xfId="2" applyNumberFormat="1" applyFont="1" applyFill="1"/>
    <xf numFmtId="164" fontId="8" fillId="3" borderId="0" xfId="2" applyFont="1" applyFill="1" applyAlignment="1">
      <alignment vertical="center"/>
    </xf>
    <xf numFmtId="164" fontId="9" fillId="3" borderId="0" xfId="2" quotePrefix="1" applyFont="1" applyFill="1" applyAlignment="1">
      <alignment horizontal="right"/>
    </xf>
    <xf numFmtId="3" fontId="11" fillId="3" borderId="0" xfId="2" applyNumberFormat="1" applyFont="1" applyFill="1" applyAlignment="1">
      <alignment vertical="center"/>
    </xf>
    <xf numFmtId="167" fontId="11" fillId="3" borderId="0" xfId="4" applyNumberFormat="1" applyFont="1" applyFill="1" applyProtection="1">
      <protection locked="0"/>
    </xf>
    <xf numFmtId="164" fontId="9" fillId="2" borderId="4" xfId="2" quotePrefix="1" applyFont="1" applyFill="1" applyBorder="1" applyAlignment="1" applyProtection="1">
      <alignment horizontal="left" vertical="center"/>
      <protection locked="0"/>
    </xf>
    <xf numFmtId="164" fontId="8" fillId="3" borderId="0" xfId="2" applyFont="1" applyFill="1"/>
    <xf numFmtId="164" fontId="8" fillId="2" borderId="5" xfId="2" applyFont="1" applyFill="1" applyBorder="1" applyAlignment="1">
      <alignment vertical="center"/>
    </xf>
    <xf numFmtId="164" fontId="8" fillId="2" borderId="0" xfId="2" applyFont="1" applyFill="1" applyAlignment="1">
      <alignment horizontal="left" vertical="center"/>
    </xf>
    <xf numFmtId="164" fontId="11" fillId="2" borderId="4" xfId="2" applyFont="1" applyFill="1" applyBorder="1" applyAlignment="1">
      <alignment vertical="center"/>
    </xf>
    <xf numFmtId="164" fontId="10" fillId="2" borderId="0" xfId="2" quotePrefix="1" applyFont="1" applyFill="1" applyAlignment="1">
      <alignment horizontal="left" vertical="center"/>
    </xf>
    <xf numFmtId="166" fontId="11" fillId="3" borderId="6" xfId="2" applyNumberFormat="1" applyFont="1" applyFill="1" applyBorder="1"/>
    <xf numFmtId="167" fontId="11" fillId="3" borderId="6" xfId="4" applyNumberFormat="1" applyFont="1" applyFill="1" applyBorder="1" applyProtection="1">
      <protection locked="0"/>
    </xf>
    <xf numFmtId="164" fontId="11" fillId="2" borderId="0" xfId="2" applyFont="1" applyFill="1" applyAlignment="1">
      <alignment vertical="center"/>
    </xf>
    <xf numFmtId="165" fontId="12" fillId="2" borderId="2" xfId="2" applyNumberFormat="1" applyFont="1" applyFill="1" applyBorder="1"/>
    <xf numFmtId="164" fontId="10" fillId="2" borderId="4" xfId="2" quotePrefix="1" applyFont="1" applyFill="1" applyBorder="1" applyAlignment="1" applyProtection="1">
      <alignment horizontal="left" vertical="center"/>
      <protection locked="0"/>
    </xf>
    <xf numFmtId="165" fontId="12" fillId="2" borderId="7" xfId="2" applyNumberFormat="1" applyFont="1" applyFill="1" applyBorder="1"/>
    <xf numFmtId="165" fontId="12" fillId="3" borderId="7" xfId="2" applyNumberFormat="1" applyFont="1" applyFill="1" applyBorder="1"/>
    <xf numFmtId="165" fontId="12" fillId="0" borderId="7" xfId="2" applyNumberFormat="1" applyFont="1" applyBorder="1"/>
    <xf numFmtId="168" fontId="12" fillId="2" borderId="0" xfId="2" applyNumberFormat="1" applyFont="1" applyFill="1" applyAlignment="1">
      <alignment horizontal="center"/>
    </xf>
    <xf numFmtId="166" fontId="13" fillId="2" borderId="0" xfId="2" applyNumberFormat="1" applyFont="1" applyFill="1"/>
    <xf numFmtId="40" fontId="8" fillId="2" borderId="0" xfId="2" applyNumberFormat="1" applyFont="1" applyFill="1" applyAlignment="1">
      <alignment vertical="center"/>
    </xf>
    <xf numFmtId="40" fontId="9" fillId="2" borderId="0" xfId="2" quotePrefix="1" applyNumberFormat="1" applyFont="1" applyFill="1" applyAlignment="1">
      <alignment horizontal="right"/>
    </xf>
    <xf numFmtId="40" fontId="8" fillId="2" borderId="0" xfId="2" applyNumberFormat="1" applyFont="1" applyFill="1"/>
    <xf numFmtId="164" fontId="8" fillId="2" borderId="8" xfId="2" applyFont="1" applyFill="1" applyBorder="1"/>
    <xf numFmtId="164" fontId="8" fillId="2" borderId="6" xfId="2" applyFont="1" applyFill="1" applyBorder="1"/>
    <xf numFmtId="37" fontId="8" fillId="2" borderId="6" xfId="2" applyNumberFormat="1" applyFont="1" applyFill="1" applyBorder="1"/>
    <xf numFmtId="164" fontId="8" fillId="2" borderId="9" xfId="2" applyFont="1" applyFill="1" applyBorder="1"/>
    <xf numFmtId="164" fontId="10" fillId="2" borderId="0" xfId="3" quotePrefix="1" applyFont="1" applyFill="1" applyAlignment="1">
      <alignment horizontal="centerContinuous" vertical="center"/>
    </xf>
    <xf numFmtId="164" fontId="8" fillId="2" borderId="0" xfId="3" quotePrefix="1" applyFont="1" applyFill="1" applyAlignment="1">
      <alignment horizontal="centerContinuous" vertical="center"/>
    </xf>
    <xf numFmtId="164" fontId="14" fillId="2" borderId="0" xfId="2" quotePrefix="1" applyFont="1" applyFill="1" applyAlignment="1">
      <alignment horizontal="center"/>
    </xf>
    <xf numFmtId="0" fontId="3" fillId="2" borderId="0" xfId="0" applyFont="1" applyFill="1"/>
    <xf numFmtId="0" fontId="15" fillId="2" borderId="0" xfId="0" applyFont="1" applyFill="1"/>
    <xf numFmtId="0" fontId="4" fillId="2" borderId="0" xfId="0" quotePrefix="1" applyFont="1" applyFill="1" applyAlignment="1">
      <alignment horizontal="centerContinuous"/>
    </xf>
    <xf numFmtId="0" fontId="16" fillId="2" borderId="0" xfId="0" applyFont="1" applyFill="1" applyAlignment="1">
      <alignment horizontal="centerContinuous" vertical="center"/>
    </xf>
    <xf numFmtId="0" fontId="17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Continuous" vertical="center"/>
    </xf>
    <xf numFmtId="0" fontId="19" fillId="2" borderId="0" xfId="0" applyFont="1" applyFill="1" applyAlignment="1">
      <alignment horizontal="center"/>
    </xf>
    <xf numFmtId="0" fontId="3" fillId="2" borderId="0" xfId="0" applyFont="1" applyFill="1" applyProtection="1">
      <protection locked="0"/>
    </xf>
    <xf numFmtId="0" fontId="6" fillId="2" borderId="0" xfId="0" applyFont="1" applyFill="1" applyAlignment="1" applyProtection="1">
      <alignment horizontal="centerContinuous" vertical="center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8" fillId="2" borderId="0" xfId="0" applyFont="1" applyFill="1"/>
    <xf numFmtId="0" fontId="8" fillId="2" borderId="0" xfId="0" applyFont="1" applyFill="1" applyProtection="1">
      <protection locked="0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8" fillId="2" borderId="4" xfId="0" applyFont="1" applyFill="1" applyBorder="1"/>
    <xf numFmtId="0" fontId="8" fillId="3" borderId="0" xfId="0" applyFont="1" applyFill="1"/>
    <xf numFmtId="169" fontId="20" fillId="3" borderId="0" xfId="0" quotePrefix="1" applyNumberFormat="1" applyFont="1" applyFill="1" applyAlignment="1">
      <alignment horizontal="center"/>
    </xf>
    <xf numFmtId="0" fontId="22" fillId="3" borderId="0" xfId="0" applyFont="1" applyFill="1"/>
    <xf numFmtId="0" fontId="8" fillId="3" borderId="5" xfId="0" applyFont="1" applyFill="1" applyBorder="1"/>
    <xf numFmtId="0" fontId="23" fillId="2" borderId="0" xfId="0" applyFont="1" applyFill="1"/>
    <xf numFmtId="0" fontId="24" fillId="2" borderId="4" xfId="0" quotePrefix="1" applyFont="1" applyFill="1" applyBorder="1" applyAlignment="1">
      <alignment horizontal="left"/>
    </xf>
    <xf numFmtId="0" fontId="24" fillId="3" borderId="0" xfId="0" quotePrefix="1" applyFont="1" applyFill="1" applyAlignment="1">
      <alignment horizontal="left"/>
    </xf>
    <xf numFmtId="0" fontId="8" fillId="2" borderId="5" xfId="0" applyFont="1" applyFill="1" applyBorder="1"/>
    <xf numFmtId="0" fontId="6" fillId="2" borderId="4" xfId="0" quotePrefix="1" applyFont="1" applyFill="1" applyBorder="1" applyAlignment="1">
      <alignment horizontal="left"/>
    </xf>
    <xf numFmtId="0" fontId="25" fillId="3" borderId="0" xfId="0" applyFont="1" applyFill="1"/>
    <xf numFmtId="0" fontId="6" fillId="3" borderId="0" xfId="0" applyFont="1" applyFill="1" applyAlignment="1">
      <alignment horizontal="left"/>
    </xf>
    <xf numFmtId="0" fontId="24" fillId="2" borderId="4" xfId="0" applyFont="1" applyFill="1" applyBorder="1" applyAlignment="1">
      <alignment horizontal="left"/>
    </xf>
    <xf numFmtId="0" fontId="26" fillId="3" borderId="0" xfId="0" quotePrefix="1" applyFont="1" applyFill="1" applyAlignment="1">
      <alignment horizontal="left"/>
    </xf>
    <xf numFmtId="0" fontId="27" fillId="3" borderId="0" xfId="0" quotePrefix="1" applyFont="1" applyFill="1" applyAlignment="1">
      <alignment horizontal="right"/>
    </xf>
    <xf numFmtId="165" fontId="27" fillId="3" borderId="0" xfId="0" applyNumberFormat="1" applyFont="1" applyFill="1" applyProtection="1">
      <protection locked="0"/>
    </xf>
    <xf numFmtId="0" fontId="26" fillId="3" borderId="0" xfId="0" applyFont="1" applyFill="1"/>
    <xf numFmtId="0" fontId="27" fillId="3" borderId="0" xfId="0" quotePrefix="1" applyFont="1" applyFill="1" applyAlignment="1">
      <alignment horizontal="center" vertical="center"/>
    </xf>
    <xf numFmtId="3" fontId="27" fillId="3" borderId="0" xfId="0" applyNumberFormat="1" applyFont="1" applyFill="1" applyAlignment="1" applyProtection="1">
      <alignment vertical="center"/>
      <protection locked="0"/>
    </xf>
    <xf numFmtId="170" fontId="23" fillId="2" borderId="0" xfId="0" applyNumberFormat="1" applyFont="1" applyFill="1"/>
    <xf numFmtId="0" fontId="22" fillId="2" borderId="4" xfId="0" applyFont="1" applyFill="1" applyBorder="1"/>
    <xf numFmtId="3" fontId="10" fillId="3" borderId="0" xfId="0" applyNumberFormat="1" applyFont="1" applyFill="1"/>
    <xf numFmtId="165" fontId="28" fillId="2" borderId="0" xfId="0" applyNumberFormat="1" applyFont="1" applyFill="1" applyProtection="1">
      <protection locked="0"/>
    </xf>
    <xf numFmtId="0" fontId="26" fillId="3" borderId="0" xfId="0" applyFont="1" applyFill="1" applyAlignment="1">
      <alignment horizontal="left"/>
    </xf>
    <xf numFmtId="4" fontId="10" fillId="3" borderId="0" xfId="0" applyNumberFormat="1" applyFont="1" applyFill="1"/>
    <xf numFmtId="170" fontId="8" fillId="2" borderId="0" xfId="0" applyNumberFormat="1" applyFont="1" applyFill="1"/>
    <xf numFmtId="3" fontId="8" fillId="3" borderId="0" xfId="0" applyNumberFormat="1" applyFont="1" applyFill="1"/>
    <xf numFmtId="165" fontId="27" fillId="3" borderId="6" xfId="0" applyNumberFormat="1" applyFont="1" applyFill="1" applyBorder="1" applyProtection="1">
      <protection locked="0"/>
    </xf>
    <xf numFmtId="0" fontId="26" fillId="3" borderId="0" xfId="0" quotePrefix="1" applyFont="1" applyFill="1" applyAlignment="1">
      <alignment horizontal="left" indent="2"/>
    </xf>
    <xf numFmtId="0" fontId="22" fillId="2" borderId="4" xfId="0" quotePrefix="1" applyFont="1" applyFill="1" applyBorder="1"/>
    <xf numFmtId="0" fontId="27" fillId="3" borderId="0" xfId="0" quotePrefix="1" applyFont="1" applyFill="1" applyAlignment="1">
      <alignment horizontal="left"/>
    </xf>
    <xf numFmtId="0" fontId="29" fillId="3" borderId="0" xfId="0" quotePrefix="1" applyFont="1" applyFill="1" applyAlignment="1">
      <alignment horizontal="left"/>
    </xf>
    <xf numFmtId="0" fontId="30" fillId="3" borderId="0" xfId="0" applyFont="1" applyFill="1"/>
    <xf numFmtId="3" fontId="27" fillId="3" borderId="0" xfId="0" applyNumberFormat="1" applyFont="1" applyFill="1" applyProtection="1">
      <protection locked="0"/>
    </xf>
    <xf numFmtId="0" fontId="8" fillId="2" borderId="4" xfId="0" quotePrefix="1" applyFont="1" applyFill="1" applyBorder="1"/>
    <xf numFmtId="0" fontId="6" fillId="3" borderId="0" xfId="0" quotePrefix="1" applyFont="1" applyFill="1" applyAlignment="1">
      <alignment horizontal="left"/>
    </xf>
    <xf numFmtId="0" fontId="26" fillId="2" borderId="4" xfId="0" applyFont="1" applyFill="1" applyBorder="1" applyAlignment="1">
      <alignment horizontal="left"/>
    </xf>
    <xf numFmtId="0" fontId="29" fillId="3" borderId="0" xfId="0" applyFont="1" applyFill="1"/>
    <xf numFmtId="0" fontId="26" fillId="2" borderId="4" xfId="0" quotePrefix="1" applyFont="1" applyFill="1" applyBorder="1" applyAlignment="1">
      <alignment horizontal="left"/>
    </xf>
    <xf numFmtId="0" fontId="31" fillId="3" borderId="0" xfId="0" applyFont="1" applyFill="1" applyAlignment="1">
      <alignment horizontal="left"/>
    </xf>
    <xf numFmtId="0" fontId="26" fillId="2" borderId="4" xfId="0" quotePrefix="1" applyFont="1" applyFill="1" applyBorder="1"/>
    <xf numFmtId="165" fontId="27" fillId="3" borderId="2" xfId="0" applyNumberFormat="1" applyFont="1" applyFill="1" applyBorder="1" applyProtection="1">
      <protection locked="0"/>
    </xf>
    <xf numFmtId="0" fontId="31" fillId="2" borderId="4" xfId="0" quotePrefix="1" applyFont="1" applyFill="1" applyBorder="1" applyAlignment="1">
      <alignment horizontal="left"/>
    </xf>
    <xf numFmtId="0" fontId="26" fillId="2" borderId="4" xfId="0" applyFont="1" applyFill="1" applyBorder="1"/>
    <xf numFmtId="0" fontId="24" fillId="2" borderId="0" xfId="0" quotePrefix="1" applyFont="1" applyFill="1" applyAlignment="1">
      <alignment horizontal="left" vertical="center"/>
    </xf>
    <xf numFmtId="0" fontId="32" fillId="3" borderId="0" xfId="0" quotePrefix="1" applyFont="1" applyFill="1" applyAlignment="1">
      <alignment horizontal="center" vertical="center"/>
    </xf>
    <xf numFmtId="165" fontId="32" fillId="3" borderId="10" xfId="0" applyNumberFormat="1" applyFont="1" applyFill="1" applyBorder="1" applyProtection="1">
      <protection locked="0"/>
    </xf>
    <xf numFmtId="0" fontId="33" fillId="3" borderId="0" xfId="0" quotePrefix="1" applyFont="1" applyFill="1" applyAlignment="1">
      <alignment horizontal="left"/>
    </xf>
    <xf numFmtId="3" fontId="28" fillId="2" borderId="0" xfId="0" applyNumberFormat="1" applyFont="1" applyFill="1"/>
    <xf numFmtId="165" fontId="23" fillId="2" borderId="0" xfId="0" applyNumberFormat="1" applyFont="1" applyFill="1"/>
    <xf numFmtId="165" fontId="30" fillId="2" borderId="0" xfId="0" applyNumberFormat="1" applyFont="1" applyFill="1"/>
    <xf numFmtId="0" fontId="27" fillId="3" borderId="0" xfId="0" applyFont="1" applyFill="1" applyAlignment="1">
      <alignment horizontal="left"/>
    </xf>
    <xf numFmtId="0" fontId="8" fillId="3" borderId="6" xfId="0" applyFont="1" applyFill="1" applyBorder="1"/>
    <xf numFmtId="0" fontId="24" fillId="2" borderId="4" xfId="0" quotePrefix="1" applyFont="1" applyFill="1" applyBorder="1" applyAlignment="1">
      <alignment horizontal="left" vertical="center"/>
    </xf>
    <xf numFmtId="0" fontId="34" fillId="3" borderId="0" xfId="0" quotePrefix="1" applyFont="1" applyFill="1" applyAlignment="1">
      <alignment horizontal="right"/>
    </xf>
    <xf numFmtId="165" fontId="32" fillId="3" borderId="10" xfId="0" applyNumberFormat="1" applyFont="1" applyFill="1" applyBorder="1" applyAlignment="1" applyProtection="1">
      <alignment vertical="center"/>
      <protection locked="0"/>
    </xf>
    <xf numFmtId="0" fontId="24" fillId="3" borderId="0" xfId="0" quotePrefix="1" applyFont="1" applyFill="1" applyAlignment="1">
      <alignment horizontal="left" vertical="center"/>
    </xf>
    <xf numFmtId="165" fontId="28" fillId="2" borderId="0" xfId="0" applyNumberFormat="1" applyFont="1" applyFill="1"/>
    <xf numFmtId="0" fontId="8" fillId="2" borderId="8" xfId="0" applyFont="1" applyFill="1" applyBorder="1"/>
    <xf numFmtId="0" fontId="22" fillId="2" borderId="6" xfId="0" applyFont="1" applyFill="1" applyBorder="1"/>
    <xf numFmtId="0" fontId="8" fillId="2" borderId="6" xfId="0" applyFont="1" applyFill="1" applyBorder="1"/>
    <xf numFmtId="0" fontId="8" fillId="2" borderId="9" xfId="0" applyFont="1" applyFill="1" applyBorder="1"/>
    <xf numFmtId="0" fontId="22" fillId="2" borderId="0" xfId="0" applyFont="1" applyFill="1"/>
    <xf numFmtId="0" fontId="27" fillId="2" borderId="0" xfId="0" quotePrefix="1" applyFont="1" applyFill="1" applyAlignment="1">
      <alignment horizontal="centerContinuous" vertical="center"/>
    </xf>
    <xf numFmtId="0" fontId="27" fillId="2" borderId="0" xfId="0" quotePrefix="1" applyFont="1" applyFill="1" applyAlignment="1">
      <alignment horizontal="centerContinuous"/>
    </xf>
    <xf numFmtId="0" fontId="8" fillId="2" borderId="0" xfId="0" applyFont="1" applyFill="1" applyAlignment="1">
      <alignment horizontal="centerContinuous"/>
    </xf>
    <xf numFmtId="0" fontId="27" fillId="2" borderId="0" xfId="0" applyFont="1" applyFill="1" applyAlignment="1">
      <alignment horizontal="centerContinuous" vertical="center"/>
    </xf>
    <xf numFmtId="0" fontId="27" fillId="2" borderId="0" xfId="0" quotePrefix="1" applyFont="1" applyFill="1" applyAlignment="1">
      <alignment horizontal="center"/>
    </xf>
    <xf numFmtId="165" fontId="3" fillId="2" borderId="0" xfId="0" applyNumberFormat="1" applyFont="1" applyFill="1"/>
    <xf numFmtId="165" fontId="35" fillId="2" borderId="0" xfId="0" applyNumberFormat="1" applyFont="1" applyFill="1"/>
    <xf numFmtId="0" fontId="3" fillId="0" borderId="0" xfId="0" applyFont="1"/>
    <xf numFmtId="165" fontId="27" fillId="2" borderId="0" xfId="0" applyNumberFormat="1" applyFont="1" applyFill="1" applyProtection="1">
      <protection locked="0"/>
    </xf>
    <xf numFmtId="0" fontId="26" fillId="2" borderId="0" xfId="0" quotePrefix="1" applyFont="1" applyFill="1" applyAlignment="1">
      <alignment horizontal="left"/>
    </xf>
    <xf numFmtId="170" fontId="36" fillId="2" borderId="0" xfId="0" applyNumberFormat="1" applyFont="1" applyFill="1"/>
    <xf numFmtId="170" fontId="3" fillId="2" borderId="0" xfId="0" applyNumberFormat="1" applyFont="1" applyFill="1"/>
    <xf numFmtId="4" fontId="22" fillId="2" borderId="0" xfId="0" applyNumberFormat="1" applyFont="1" applyFill="1"/>
    <xf numFmtId="0" fontId="27" fillId="2" borderId="0" xfId="0" applyFont="1" applyFill="1"/>
    <xf numFmtId="37" fontId="2" fillId="3" borderId="0" xfId="5" applyFill="1"/>
    <xf numFmtId="37" fontId="8" fillId="3" borderId="0" xfId="5" applyFont="1" applyFill="1"/>
    <xf numFmtId="37" fontId="5" fillId="3" borderId="0" xfId="5" applyFont="1" applyFill="1" applyAlignment="1">
      <alignment horizontal="centerContinuous" vertical="center"/>
    </xf>
    <xf numFmtId="37" fontId="3" fillId="3" borderId="0" xfId="5" applyFont="1" applyFill="1"/>
    <xf numFmtId="37" fontId="37" fillId="3" borderId="0" xfId="5" applyFont="1" applyFill="1" applyAlignment="1">
      <alignment horizontal="centerContinuous"/>
    </xf>
    <xf numFmtId="37" fontId="6" fillId="3" borderId="0" xfId="5" applyFont="1" applyFill="1" applyAlignment="1">
      <alignment horizontal="centerContinuous" vertical="center"/>
    </xf>
    <xf numFmtId="37" fontId="6" fillId="3" borderId="0" xfId="5" applyFont="1" applyFill="1" applyAlignment="1" applyProtection="1">
      <alignment horizontal="centerContinuous" vertical="center"/>
      <protection locked="0"/>
    </xf>
    <xf numFmtId="1" fontId="11" fillId="3" borderId="0" xfId="5" applyNumberFormat="1" applyFont="1" applyFill="1" applyAlignment="1">
      <alignment horizontal="center" vertical="center"/>
    </xf>
    <xf numFmtId="37" fontId="11" fillId="3" borderId="0" xfId="5" applyFont="1" applyFill="1" applyAlignment="1">
      <alignment horizontal="center" vertical="center"/>
    </xf>
    <xf numFmtId="37" fontId="38" fillId="3" borderId="0" xfId="5" applyFont="1" applyFill="1"/>
    <xf numFmtId="37" fontId="11" fillId="3" borderId="0" xfId="5" applyFont="1" applyFill="1" applyAlignment="1">
      <alignment horizontal="centerContinuous" vertical="center"/>
    </xf>
    <xf numFmtId="37" fontId="11" fillId="3" borderId="0" xfId="5" quotePrefix="1" applyFont="1" applyFill="1" applyAlignment="1">
      <alignment horizontal="centerContinuous" vertical="center"/>
    </xf>
    <xf numFmtId="37" fontId="8" fillId="3" borderId="11" xfId="5" applyFont="1" applyFill="1" applyBorder="1"/>
    <xf numFmtId="37" fontId="30" fillId="3" borderId="11" xfId="5" applyFont="1" applyFill="1" applyBorder="1"/>
    <xf numFmtId="37" fontId="12" fillId="3" borderId="0" xfId="5" quotePrefix="1" applyFont="1" applyFill="1" applyAlignment="1">
      <alignment horizontal="left" vertical="center"/>
    </xf>
    <xf numFmtId="37" fontId="11" fillId="3" borderId="0" xfId="5" applyFont="1" applyFill="1"/>
    <xf numFmtId="37" fontId="11" fillId="3" borderId="0" xfId="5" quotePrefix="1" applyFont="1" applyFill="1" applyAlignment="1">
      <alignment horizontal="left" vertical="center"/>
    </xf>
    <xf numFmtId="171" fontId="11" fillId="3" borderId="0" xfId="5" applyNumberFormat="1" applyFont="1" applyFill="1"/>
    <xf numFmtId="172" fontId="11" fillId="3" borderId="0" xfId="5" applyNumberFormat="1" applyFont="1" applyFill="1"/>
    <xf numFmtId="37" fontId="11" fillId="3" borderId="0" xfId="5" quotePrefix="1" applyFont="1" applyFill="1"/>
    <xf numFmtId="171" fontId="11" fillId="3" borderId="0" xfId="5" quotePrefix="1" applyNumberFormat="1" applyFont="1" applyFill="1" applyAlignment="1">
      <alignment horizontal="right"/>
    </xf>
    <xf numFmtId="172" fontId="11" fillId="3" borderId="0" xfId="5" quotePrefix="1" applyNumberFormat="1" applyFont="1" applyFill="1" applyAlignment="1">
      <alignment horizontal="right"/>
    </xf>
    <xf numFmtId="172" fontId="11" fillId="3" borderId="0" xfId="5" applyNumberFormat="1" applyFont="1" applyFill="1" applyProtection="1">
      <protection locked="0"/>
    </xf>
    <xf numFmtId="173" fontId="11" fillId="3" borderId="0" xfId="5" applyNumberFormat="1" applyFont="1" applyFill="1" applyProtection="1">
      <protection locked="0"/>
    </xf>
    <xf numFmtId="37" fontId="11" fillId="3" borderId="0" xfId="5" quotePrefix="1" applyFont="1" applyFill="1" applyAlignment="1">
      <alignment horizontal="left"/>
    </xf>
    <xf numFmtId="172" fontId="11" fillId="3" borderId="2" xfId="5" applyNumberFormat="1" applyFont="1" applyFill="1" applyBorder="1"/>
    <xf numFmtId="173" fontId="11" fillId="3" borderId="2" xfId="5" applyNumberFormat="1" applyFont="1" applyFill="1" applyBorder="1"/>
    <xf numFmtId="172" fontId="13" fillId="3" borderId="0" xfId="5" applyNumberFormat="1" applyFont="1" applyFill="1" applyProtection="1">
      <protection locked="0"/>
    </xf>
    <xf numFmtId="37" fontId="12" fillId="3" borderId="0" xfId="5" quotePrefix="1" applyFont="1" applyFill="1" applyAlignment="1">
      <alignment horizontal="left"/>
    </xf>
    <xf numFmtId="171" fontId="12" fillId="3" borderId="0" xfId="5" quotePrefix="1" applyNumberFormat="1" applyFont="1" applyFill="1" applyAlignment="1">
      <alignment horizontal="center" vertical="center"/>
    </xf>
    <xf numFmtId="172" fontId="12" fillId="3" borderId="10" xfId="5" applyNumberFormat="1" applyFont="1" applyFill="1" applyBorder="1" applyAlignment="1">
      <alignment vertical="center"/>
    </xf>
    <xf numFmtId="171" fontId="12" fillId="3" borderId="0" xfId="5" quotePrefix="1" applyNumberFormat="1" applyFont="1" applyFill="1" applyAlignment="1">
      <alignment horizontal="center"/>
    </xf>
    <xf numFmtId="37" fontId="39" fillId="3" borderId="0" xfId="5" quotePrefix="1" applyFont="1" applyFill="1" applyAlignment="1">
      <alignment horizontal="left"/>
    </xf>
    <xf numFmtId="37" fontId="11" fillId="3" borderId="0" xfId="5" applyFont="1" applyFill="1" applyAlignment="1">
      <alignment horizontal="centerContinuous"/>
    </xf>
    <xf numFmtId="171" fontId="11" fillId="3" borderId="0" xfId="5" applyNumberFormat="1" applyFont="1" applyFill="1" applyAlignment="1">
      <alignment horizontal="centerContinuous"/>
    </xf>
    <xf numFmtId="37" fontId="11" fillId="3" borderId="0" xfId="5" applyFont="1" applyFill="1" applyAlignment="1">
      <alignment horizontal="left"/>
    </xf>
    <xf numFmtId="172" fontId="11" fillId="3" borderId="0" xfId="5" applyNumberFormat="1" applyFont="1" applyFill="1" applyAlignment="1">
      <alignment vertical="center"/>
    </xf>
    <xf numFmtId="172" fontId="11" fillId="3" borderId="6" xfId="5" applyNumberFormat="1" applyFont="1" applyFill="1" applyBorder="1"/>
    <xf numFmtId="172" fontId="11" fillId="3" borderId="12" xfId="5" applyNumberFormat="1" applyFont="1" applyFill="1" applyBorder="1" applyAlignment="1">
      <alignment vertical="center"/>
    </xf>
    <xf numFmtId="172" fontId="13" fillId="3" borderId="2" xfId="5" applyNumberFormat="1" applyFont="1" applyFill="1" applyBorder="1"/>
    <xf numFmtId="172" fontId="11" fillId="3" borderId="6" xfId="5" applyNumberFormat="1" applyFont="1" applyFill="1" applyBorder="1" applyAlignment="1">
      <alignment vertical="center"/>
    </xf>
    <xf numFmtId="172" fontId="12" fillId="3" borderId="0" xfId="5" applyNumberFormat="1" applyFont="1" applyFill="1"/>
    <xf numFmtId="37" fontId="12" fillId="3" borderId="0" xfId="5" applyFont="1" applyFill="1" applyAlignment="1">
      <alignment horizontal="left" vertical="center"/>
    </xf>
    <xf numFmtId="172" fontId="11" fillId="3" borderId="0" xfId="5" applyNumberFormat="1" applyFont="1" applyFill="1" applyAlignment="1" applyProtection="1">
      <alignment vertical="center"/>
      <protection locked="0"/>
    </xf>
    <xf numFmtId="172" fontId="12" fillId="3" borderId="0" xfId="5" applyNumberFormat="1" applyFont="1" applyFill="1" applyAlignment="1">
      <alignment vertical="center"/>
    </xf>
    <xf numFmtId="37" fontId="40" fillId="3" borderId="0" xfId="5" quotePrefix="1" applyFont="1" applyFill="1" applyAlignment="1">
      <alignment horizontal="left"/>
    </xf>
    <xf numFmtId="171" fontId="8" fillId="3" borderId="0" xfId="5" applyNumberFormat="1" applyFont="1" applyFill="1"/>
    <xf numFmtId="172" fontId="10" fillId="3" borderId="0" xfId="5" applyNumberFormat="1" applyFont="1" applyFill="1"/>
    <xf numFmtId="171" fontId="2" fillId="3" borderId="0" xfId="5" applyNumberFormat="1" applyFill="1"/>
    <xf numFmtId="172" fontId="2" fillId="3" borderId="0" xfId="5" applyNumberFormat="1" applyFill="1" applyAlignment="1">
      <alignment horizontal="centerContinuous"/>
    </xf>
    <xf numFmtId="172" fontId="2" fillId="3" borderId="0" xfId="5" applyNumberFormat="1" applyFill="1"/>
    <xf numFmtId="37" fontId="2" fillId="3" borderId="0" xfId="5" applyFill="1" applyAlignment="1">
      <alignment horizontal="left"/>
    </xf>
    <xf numFmtId="37" fontId="2" fillId="3" borderId="0" xfId="5" applyFill="1" applyAlignment="1">
      <alignment horizontal="center"/>
    </xf>
    <xf numFmtId="37" fontId="2" fillId="2" borderId="0" xfId="5" applyFill="1"/>
    <xf numFmtId="37" fontId="8" fillId="2" borderId="0" xfId="5" applyFont="1" applyFill="1"/>
    <xf numFmtId="37" fontId="5" fillId="2" borderId="0" xfId="5" applyFont="1" applyFill="1" applyAlignment="1">
      <alignment horizontal="centerContinuous" vertical="center"/>
    </xf>
    <xf numFmtId="37" fontId="3" fillId="2" borderId="0" xfId="5" applyFont="1" applyFill="1"/>
    <xf numFmtId="37" fontId="37" fillId="2" borderId="0" xfId="5" applyFont="1" applyFill="1" applyAlignment="1">
      <alignment horizontal="centerContinuous"/>
    </xf>
    <xf numFmtId="37" fontId="6" fillId="2" borderId="0" xfId="5" applyFont="1" applyFill="1" applyAlignment="1">
      <alignment horizontal="centerContinuous" vertical="center"/>
    </xf>
    <xf numFmtId="37" fontId="6" fillId="2" borderId="0" xfId="5" applyFont="1" applyFill="1" applyAlignment="1" applyProtection="1">
      <alignment horizontal="centerContinuous" vertical="center"/>
      <protection locked="0"/>
    </xf>
    <xf numFmtId="37" fontId="11" fillId="2" borderId="0" xfId="5" applyFont="1" applyFill="1" applyAlignment="1">
      <alignment horizontal="center" vertical="center"/>
    </xf>
    <xf numFmtId="37" fontId="22" fillId="2" borderId="0" xfId="6" quotePrefix="1" applyFont="1" applyFill="1" applyAlignment="1">
      <alignment horizontal="center"/>
    </xf>
    <xf numFmtId="1" fontId="22" fillId="2" borderId="0" xfId="5" quotePrefix="1" applyNumberFormat="1" applyFont="1" applyFill="1" applyAlignment="1">
      <alignment horizontal="center" vertical="center"/>
    </xf>
    <xf numFmtId="37" fontId="22" fillId="2" borderId="0" xfId="6" applyFont="1" applyFill="1" applyAlignment="1">
      <alignment horizontal="center"/>
    </xf>
    <xf numFmtId="37" fontId="38" fillId="2" borderId="0" xfId="5" applyFont="1" applyFill="1"/>
    <xf numFmtId="37" fontId="11" fillId="2" borderId="0" xfId="5" quotePrefix="1" applyFont="1" applyFill="1" applyAlignment="1">
      <alignment horizontal="centerContinuous" vertical="center"/>
    </xf>
    <xf numFmtId="37" fontId="8" fillId="2" borderId="11" xfId="5" applyFont="1" applyFill="1" applyBorder="1"/>
    <xf numFmtId="37" fontId="30" fillId="2" borderId="11" xfId="5" applyFont="1" applyFill="1" applyBorder="1"/>
    <xf numFmtId="37" fontId="12" fillId="2" borderId="0" xfId="5" quotePrefix="1" applyFont="1" applyFill="1" applyAlignment="1">
      <alignment horizontal="left" vertical="center"/>
    </xf>
    <xf numFmtId="37" fontId="11" fillId="2" borderId="0" xfId="5" applyFont="1" applyFill="1"/>
    <xf numFmtId="37" fontId="11" fillId="2" borderId="0" xfId="5" quotePrefix="1" applyFont="1" applyFill="1" applyAlignment="1">
      <alignment horizontal="left" vertical="center"/>
    </xf>
    <xf numFmtId="171" fontId="11" fillId="2" borderId="0" xfId="5" applyNumberFormat="1" applyFont="1" applyFill="1"/>
    <xf numFmtId="172" fontId="11" fillId="2" borderId="0" xfId="5" applyNumberFormat="1" applyFont="1" applyFill="1"/>
    <xf numFmtId="37" fontId="11" fillId="2" borderId="0" xfId="5" quotePrefix="1" applyFont="1" applyFill="1" applyAlignment="1">
      <alignment horizontal="left"/>
    </xf>
    <xf numFmtId="171" fontId="11" fillId="2" borderId="0" xfId="5" quotePrefix="1" applyNumberFormat="1" applyFont="1" applyFill="1" applyAlignment="1">
      <alignment horizontal="right"/>
    </xf>
    <xf numFmtId="172" fontId="11" fillId="2" borderId="0" xfId="5" quotePrefix="1" applyNumberFormat="1" applyFont="1" applyFill="1" applyAlignment="1">
      <alignment horizontal="right"/>
    </xf>
    <xf numFmtId="172" fontId="11" fillId="3" borderId="6" xfId="5" applyNumberFormat="1" applyFont="1" applyFill="1" applyBorder="1" applyProtection="1">
      <protection locked="0"/>
    </xf>
    <xf numFmtId="172" fontId="13" fillId="2" borderId="0" xfId="5" applyNumberFormat="1" applyFont="1" applyFill="1"/>
    <xf numFmtId="172" fontId="13" fillId="3" borderId="6" xfId="5" applyNumberFormat="1" applyFont="1" applyFill="1" applyBorder="1" applyProtection="1">
      <protection locked="0"/>
    </xf>
    <xf numFmtId="172" fontId="11" fillId="2" borderId="2" xfId="5" applyNumberFormat="1" applyFont="1" applyFill="1" applyBorder="1"/>
    <xf numFmtId="37" fontId="12" fillId="2" borderId="0" xfId="5" quotePrefix="1" applyFont="1" applyFill="1" applyAlignment="1">
      <alignment horizontal="left"/>
    </xf>
    <xf numFmtId="171" fontId="12" fillId="2" borderId="0" xfId="5" quotePrefix="1" applyNumberFormat="1" applyFont="1" applyFill="1" applyAlignment="1">
      <alignment horizontal="center" vertical="center"/>
    </xf>
    <xf numFmtId="172" fontId="12" fillId="2" borderId="10" xfId="5" applyNumberFormat="1" applyFont="1" applyFill="1" applyBorder="1" applyAlignment="1">
      <alignment vertical="center"/>
    </xf>
    <xf numFmtId="172" fontId="12" fillId="3" borderId="10" xfId="5" applyNumberFormat="1" applyFont="1" applyFill="1" applyBorder="1" applyProtection="1">
      <protection locked="0"/>
    </xf>
    <xf numFmtId="37" fontId="39" fillId="2" borderId="0" xfId="5" quotePrefix="1" applyFont="1" applyFill="1" applyAlignment="1">
      <alignment horizontal="left"/>
    </xf>
    <xf numFmtId="37" fontId="11" fillId="2" borderId="0" xfId="5" applyFont="1" applyFill="1" applyAlignment="1">
      <alignment horizontal="centerContinuous"/>
    </xf>
    <xf numFmtId="171" fontId="11" fillId="2" borderId="0" xfId="5" applyNumberFormat="1" applyFont="1" applyFill="1" applyAlignment="1">
      <alignment horizontal="centerContinuous"/>
    </xf>
    <xf numFmtId="37" fontId="11" fillId="2" borderId="0" xfId="5" applyFont="1" applyFill="1" applyAlignment="1">
      <alignment horizontal="left"/>
    </xf>
    <xf numFmtId="171" fontId="11" fillId="2" borderId="0" xfId="5" quotePrefix="1" applyNumberFormat="1" applyFont="1" applyFill="1"/>
    <xf numFmtId="173" fontId="11" fillId="2" borderId="2" xfId="5" applyNumberFormat="1" applyFont="1" applyFill="1" applyBorder="1"/>
    <xf numFmtId="172" fontId="13" fillId="3" borderId="0" xfId="5" applyNumberFormat="1" applyFont="1" applyFill="1"/>
    <xf numFmtId="173" fontId="13" fillId="3" borderId="2" xfId="5" applyNumberFormat="1" applyFont="1" applyFill="1" applyBorder="1"/>
    <xf numFmtId="173" fontId="11" fillId="3" borderId="0" xfId="5" applyNumberFormat="1" applyFont="1" applyFill="1"/>
    <xf numFmtId="172" fontId="11" fillId="2" borderId="6" xfId="5" applyNumberFormat="1" applyFont="1" applyFill="1" applyBorder="1" applyProtection="1">
      <protection locked="0"/>
    </xf>
    <xf numFmtId="172" fontId="11" fillId="3" borderId="13" xfId="5" applyNumberFormat="1" applyFont="1" applyFill="1" applyBorder="1" applyAlignment="1">
      <alignment vertical="center"/>
    </xf>
    <xf numFmtId="172" fontId="13" fillId="3" borderId="13" xfId="5" applyNumberFormat="1" applyFont="1" applyFill="1" applyBorder="1" applyAlignment="1">
      <alignment vertical="center"/>
    </xf>
    <xf numFmtId="171" fontId="13" fillId="3" borderId="0" xfId="5" applyNumberFormat="1" applyFont="1" applyFill="1"/>
    <xf numFmtId="172" fontId="11" fillId="3" borderId="13" xfId="5" applyNumberFormat="1" applyFont="1" applyFill="1" applyBorder="1" applyProtection="1">
      <protection locked="0"/>
    </xf>
    <xf numFmtId="172" fontId="13" fillId="3" borderId="2" xfId="5" applyNumberFormat="1" applyFont="1" applyFill="1" applyBorder="1" applyProtection="1">
      <protection locked="0"/>
    </xf>
    <xf numFmtId="172" fontId="11" fillId="3" borderId="13" xfId="5" applyNumberFormat="1" applyFont="1" applyFill="1" applyBorder="1"/>
    <xf numFmtId="172" fontId="11" fillId="3" borderId="13" xfId="5" applyNumberFormat="1" applyFont="1" applyFill="1" applyBorder="1" applyAlignment="1" applyProtection="1">
      <alignment vertical="center"/>
      <protection locked="0"/>
    </xf>
    <xf numFmtId="171" fontId="12" fillId="2" borderId="0" xfId="5" quotePrefix="1" applyNumberFormat="1" applyFont="1" applyFill="1" applyAlignment="1">
      <alignment horizontal="center"/>
    </xf>
    <xf numFmtId="172" fontId="12" fillId="2" borderId="10" xfId="5" applyNumberFormat="1" applyFont="1" applyFill="1" applyBorder="1" applyProtection="1">
      <protection locked="0"/>
    </xf>
    <xf numFmtId="37" fontId="40" fillId="2" borderId="0" xfId="5" quotePrefix="1" applyFont="1" applyFill="1" applyAlignment="1">
      <alignment horizontal="left"/>
    </xf>
    <xf numFmtId="171" fontId="8" fillId="2" borderId="0" xfId="5" applyNumberFormat="1" applyFont="1" applyFill="1"/>
    <xf numFmtId="172" fontId="9" fillId="2" borderId="0" xfId="5" applyNumberFormat="1" applyFont="1" applyFill="1"/>
    <xf numFmtId="171" fontId="2" fillId="2" borderId="0" xfId="5" applyNumberFormat="1" applyFill="1"/>
    <xf numFmtId="172" fontId="2" fillId="2" borderId="0" xfId="5" applyNumberFormat="1" applyFill="1" applyAlignment="1">
      <alignment horizontal="centerContinuous"/>
    </xf>
    <xf numFmtId="172" fontId="2" fillId="2" borderId="0" xfId="5" applyNumberFormat="1" applyFill="1"/>
    <xf numFmtId="37" fontId="0" fillId="2" borderId="0" xfId="5" applyFont="1" applyFill="1"/>
    <xf numFmtId="37" fontId="2" fillId="2" borderId="0" xfId="5" applyFill="1" applyAlignment="1">
      <alignment horizontal="left"/>
    </xf>
    <xf numFmtId="37" fontId="2" fillId="2" borderId="0" xfId="5" applyFill="1" applyAlignment="1">
      <alignment horizontal="center"/>
    </xf>
    <xf numFmtId="37" fontId="42" fillId="3" borderId="0" xfId="6" applyFont="1" applyFill="1"/>
    <xf numFmtId="37" fontId="29" fillId="3" borderId="0" xfId="6" applyFont="1" applyFill="1"/>
    <xf numFmtId="37" fontId="5" fillId="3" borderId="0" xfId="6" applyFont="1" applyFill="1" applyAlignment="1">
      <alignment horizontal="centerContinuous" vertical="center"/>
    </xf>
    <xf numFmtId="37" fontId="42" fillId="3" borderId="0" xfId="6" applyFont="1" applyFill="1" applyAlignment="1">
      <alignment horizontal="centerContinuous"/>
    </xf>
    <xf numFmtId="37" fontId="6" fillId="3" borderId="0" xfId="6" applyFont="1" applyFill="1" applyAlignment="1">
      <alignment horizontal="centerContinuous" vertical="center"/>
    </xf>
    <xf numFmtId="37" fontId="29" fillId="3" borderId="0" xfId="6" applyFont="1" applyFill="1" applyAlignment="1">
      <alignment horizontal="centerContinuous"/>
    </xf>
    <xf numFmtId="37" fontId="6" fillId="3" borderId="0" xfId="6" quotePrefix="1" applyFont="1" applyFill="1" applyAlignment="1" applyProtection="1">
      <alignment horizontal="left"/>
      <protection locked="0"/>
    </xf>
    <xf numFmtId="37" fontId="6" fillId="3" borderId="0" xfId="6" applyFont="1" applyFill="1" applyAlignment="1" applyProtection="1">
      <alignment horizontal="centerContinuous" vertical="center"/>
      <protection locked="0"/>
    </xf>
    <xf numFmtId="37" fontId="43" fillId="3" borderId="0" xfId="6" applyFont="1" applyFill="1" applyAlignment="1" applyProtection="1">
      <alignment horizontal="centerContinuous" vertical="center"/>
      <protection locked="0"/>
    </xf>
    <xf numFmtId="37" fontId="43" fillId="3" borderId="0" xfId="6" applyFont="1" applyFill="1" applyAlignment="1" applyProtection="1">
      <alignment horizontal="centerContinuous"/>
      <protection locked="0"/>
    </xf>
    <xf numFmtId="37" fontId="44" fillId="3" borderId="0" xfId="6" applyFont="1" applyFill="1"/>
    <xf numFmtId="1" fontId="11" fillId="3" borderId="0" xfId="6" applyNumberFormat="1" applyFont="1" applyFill="1" applyAlignment="1">
      <alignment horizontal="centerContinuous"/>
    </xf>
    <xf numFmtId="37" fontId="11" fillId="3" borderId="0" xfId="6" applyFont="1" applyFill="1"/>
    <xf numFmtId="1" fontId="11" fillId="3" borderId="0" xfId="6" applyNumberFormat="1" applyFont="1" applyFill="1"/>
    <xf numFmtId="1" fontId="11" fillId="3" borderId="0" xfId="6" quotePrefix="1" applyNumberFormat="1" applyFont="1" applyFill="1" applyAlignment="1">
      <alignment horizontal="left"/>
    </xf>
    <xf numFmtId="1" fontId="11" fillId="3" borderId="6" xfId="6" applyNumberFormat="1" applyFont="1" applyFill="1" applyBorder="1" applyAlignment="1">
      <alignment horizontal="centerContinuous"/>
    </xf>
    <xf numFmtId="1" fontId="22" fillId="3" borderId="6" xfId="6" applyNumberFormat="1" applyFont="1" applyFill="1" applyBorder="1"/>
    <xf numFmtId="37" fontId="11" fillId="3" borderId="0" xfId="6" quotePrefix="1" applyFont="1" applyFill="1" applyAlignment="1">
      <alignment horizontal="centerContinuous"/>
    </xf>
    <xf numFmtId="1" fontId="22" fillId="3" borderId="6" xfId="6" applyNumberFormat="1" applyFont="1" applyFill="1" applyBorder="1" applyAlignment="1">
      <alignment horizontal="centerContinuous"/>
    </xf>
    <xf numFmtId="37" fontId="11" fillId="3" borderId="0" xfId="6" quotePrefix="1" applyFont="1" applyFill="1" applyAlignment="1">
      <alignment horizontal="center"/>
    </xf>
    <xf numFmtId="1" fontId="22" fillId="3" borderId="2" xfId="6" applyNumberFormat="1" applyFont="1" applyFill="1" applyBorder="1" applyAlignment="1">
      <alignment horizontal="centerContinuous"/>
    </xf>
    <xf numFmtId="1" fontId="11" fillId="3" borderId="0" xfId="6" applyNumberFormat="1" applyFont="1" applyFill="1" applyAlignment="1">
      <alignment horizontal="center"/>
    </xf>
    <xf numFmtId="37" fontId="11" fillId="3" borderId="6" xfId="6" quotePrefix="1" applyFont="1" applyFill="1" applyBorder="1" applyAlignment="1">
      <alignment horizontal="center"/>
    </xf>
    <xf numFmtId="37" fontId="11" fillId="3" borderId="0" xfId="6" applyFont="1" applyFill="1" applyAlignment="1">
      <alignment horizontal="center"/>
    </xf>
    <xf numFmtId="1" fontId="11" fillId="3" borderId="6" xfId="6" applyNumberFormat="1" applyFont="1" applyFill="1" applyBorder="1" applyAlignment="1">
      <alignment horizontal="centerContinuous" vertical="center"/>
    </xf>
    <xf numFmtId="1" fontId="22" fillId="3" borderId="0" xfId="6" applyNumberFormat="1" applyFont="1" applyFill="1" applyAlignment="1">
      <alignment horizontal="centerContinuous"/>
    </xf>
    <xf numFmtId="37" fontId="45" fillId="3" borderId="0" xfId="6" applyFont="1" applyFill="1" applyAlignment="1">
      <alignment horizontal="left"/>
    </xf>
    <xf numFmtId="37" fontId="45" fillId="3" borderId="0" xfId="7" applyFont="1" applyFill="1" applyAlignment="1">
      <alignment horizontal="left" indent="1"/>
    </xf>
    <xf numFmtId="37" fontId="11" fillId="3" borderId="0" xfId="6" applyFont="1" applyFill="1" applyAlignment="1">
      <alignment horizontal="left" indent="2"/>
    </xf>
    <xf numFmtId="171" fontId="11" fillId="3" borderId="0" xfId="6" quotePrefix="1" applyNumberFormat="1" applyFont="1" applyFill="1" applyAlignment="1">
      <alignment horizontal="right"/>
    </xf>
    <xf numFmtId="172" fontId="11" fillId="3" borderId="0" xfId="6" applyNumberFormat="1" applyFont="1" applyFill="1" applyAlignment="1">
      <alignment vertical="center"/>
    </xf>
    <xf numFmtId="171" fontId="11" fillId="3" borderId="0" xfId="6" quotePrefix="1" applyNumberFormat="1" applyFont="1" applyFill="1" applyAlignment="1">
      <alignment horizontal="left"/>
    </xf>
    <xf numFmtId="172" fontId="13" fillId="3" borderId="0" xfId="6" applyNumberFormat="1" applyFont="1" applyFill="1" applyAlignment="1">
      <alignment vertical="center"/>
    </xf>
    <xf numFmtId="0" fontId="46" fillId="3" borderId="0" xfId="0" applyFont="1" applyFill="1"/>
    <xf numFmtId="171" fontId="11" fillId="3" borderId="0" xfId="6" applyNumberFormat="1" applyFont="1" applyFill="1"/>
    <xf numFmtId="172" fontId="11" fillId="3" borderId="0" xfId="6" applyNumberFormat="1" applyFont="1" applyFill="1"/>
    <xf numFmtId="171" fontId="13" fillId="3" borderId="0" xfId="6" quotePrefix="1" applyNumberFormat="1" applyFont="1" applyFill="1" applyAlignment="1">
      <alignment horizontal="left"/>
    </xf>
    <xf numFmtId="172" fontId="29" fillId="3" borderId="0" xfId="6" applyNumberFormat="1" applyFont="1" applyFill="1"/>
    <xf numFmtId="0" fontId="46" fillId="0" borderId="0" xfId="0" applyFont="1"/>
    <xf numFmtId="172" fontId="11" fillId="0" borderId="0" xfId="6" applyNumberFormat="1" applyFont="1" applyAlignment="1">
      <alignment vertical="center"/>
    </xf>
    <xf numFmtId="37" fontId="11" fillId="3" borderId="0" xfId="6" quotePrefix="1" applyFont="1" applyFill="1" applyAlignment="1">
      <alignment horizontal="left" indent="2"/>
    </xf>
    <xf numFmtId="37" fontId="11" fillId="3" borderId="0" xfId="6" quotePrefix="1" applyFont="1" applyFill="1" applyAlignment="1">
      <alignment horizontal="left"/>
    </xf>
    <xf numFmtId="172" fontId="11" fillId="3" borderId="6" xfId="6" applyNumberFormat="1" applyFont="1" applyFill="1" applyBorder="1"/>
    <xf numFmtId="37" fontId="11" fillId="3" borderId="0" xfId="6" applyFont="1" applyFill="1" applyAlignment="1">
      <alignment horizontal="left"/>
    </xf>
    <xf numFmtId="172" fontId="12" fillId="3" borderId="0" xfId="6" applyNumberFormat="1" applyFont="1" applyFill="1" applyAlignment="1">
      <alignment vertical="center"/>
    </xf>
    <xf numFmtId="172" fontId="47" fillId="3" borderId="0" xfId="6" applyNumberFormat="1" applyFont="1" applyFill="1" applyAlignment="1">
      <alignment vertical="center"/>
    </xf>
    <xf numFmtId="37" fontId="45" fillId="3" borderId="0" xfId="6" applyFont="1" applyFill="1" applyAlignment="1">
      <alignment horizontal="left" indent="1"/>
    </xf>
    <xf numFmtId="172" fontId="13" fillId="3" borderId="0" xfId="6" applyNumberFormat="1" applyFont="1" applyFill="1"/>
    <xf numFmtId="37" fontId="11" fillId="3" borderId="0" xfId="7" quotePrefix="1" applyFont="1" applyFill="1" applyAlignment="1">
      <alignment horizontal="left" indent="2"/>
    </xf>
    <xf numFmtId="37" fontId="45" fillId="3" borderId="0" xfId="7" quotePrefix="1" applyFont="1" applyFill="1" applyAlignment="1">
      <alignment horizontal="left"/>
    </xf>
    <xf numFmtId="37" fontId="11" fillId="3" borderId="0" xfId="7" applyFont="1" applyFill="1"/>
    <xf numFmtId="37" fontId="22" fillId="3" borderId="0" xfId="6" quotePrefix="1" applyFont="1" applyFill="1" applyAlignment="1">
      <alignment horizontal="left" indent="2"/>
    </xf>
    <xf numFmtId="172" fontId="48" fillId="3" borderId="0" xfId="6" applyNumberFormat="1" applyFont="1" applyFill="1" applyAlignment="1">
      <alignment vertical="center"/>
    </xf>
    <xf numFmtId="37" fontId="49" fillId="3" borderId="0" xfId="6" quotePrefix="1" applyFont="1" applyFill="1" applyAlignment="1">
      <alignment horizontal="left" indent="2"/>
    </xf>
    <xf numFmtId="37" fontId="22" fillId="3" borderId="0" xfId="6" applyFont="1" applyFill="1" applyAlignment="1">
      <alignment horizontal="left" indent="2"/>
    </xf>
    <xf numFmtId="172" fontId="48" fillId="3" borderId="0" xfId="6" applyNumberFormat="1" applyFont="1" applyFill="1"/>
    <xf numFmtId="172" fontId="12" fillId="3" borderId="2" xfId="6" applyNumberFormat="1" applyFont="1" applyFill="1" applyBorder="1" applyAlignment="1">
      <alignment vertical="center"/>
    </xf>
    <xf numFmtId="37" fontId="45" fillId="3" borderId="0" xfId="7" quotePrefix="1" applyFont="1" applyFill="1" applyAlignment="1">
      <alignment horizontal="left" indent="1"/>
    </xf>
    <xf numFmtId="171" fontId="12" fillId="3" borderId="0" xfId="6" applyNumberFormat="1" applyFont="1" applyFill="1"/>
    <xf numFmtId="172" fontId="12" fillId="3" borderId="0" xfId="6" applyNumberFormat="1" applyFont="1" applyFill="1"/>
    <xf numFmtId="37" fontId="12" fillId="3" borderId="0" xfId="6" applyFont="1" applyFill="1"/>
    <xf numFmtId="37" fontId="34" fillId="3" borderId="0" xfId="6" applyFont="1" applyFill="1"/>
    <xf numFmtId="174" fontId="50" fillId="3" borderId="0" xfId="0" applyNumberFormat="1" applyFont="1" applyFill="1"/>
    <xf numFmtId="37" fontId="12" fillId="3" borderId="0" xfId="6" applyFont="1" applyFill="1" applyAlignment="1">
      <alignment horizontal="left" indent="2"/>
    </xf>
    <xf numFmtId="37" fontId="11" fillId="3" borderId="0" xfId="6" applyFont="1" applyFill="1" applyAlignment="1">
      <alignment horizontal="centerContinuous"/>
    </xf>
    <xf numFmtId="171" fontId="11" fillId="3" borderId="0" xfId="6" applyNumberFormat="1" applyFont="1" applyFill="1" applyAlignment="1">
      <alignment horizontal="centerContinuous"/>
    </xf>
    <xf numFmtId="172" fontId="11" fillId="3" borderId="0" xfId="6" applyNumberFormat="1" applyFont="1" applyFill="1" applyAlignment="1">
      <alignment horizontal="centerContinuous"/>
    </xf>
    <xf numFmtId="172" fontId="29" fillId="3" borderId="0" xfId="6" applyNumberFormat="1" applyFont="1" applyFill="1" applyAlignment="1">
      <alignment horizontal="centerContinuous"/>
    </xf>
    <xf numFmtId="175" fontId="13" fillId="3" borderId="0" xfId="6" applyNumberFormat="1" applyFont="1" applyFill="1" applyAlignment="1">
      <alignment vertical="center"/>
    </xf>
    <xf numFmtId="172" fontId="47" fillId="3" borderId="2" xfId="6" applyNumberFormat="1" applyFont="1" applyFill="1" applyBorder="1" applyAlignment="1">
      <alignment vertical="center"/>
    </xf>
    <xf numFmtId="172" fontId="34" fillId="3" borderId="0" xfId="6" applyNumberFormat="1" applyFont="1" applyFill="1"/>
    <xf numFmtId="172" fontId="11" fillId="3" borderId="6" xfId="6" applyNumberFormat="1" applyFont="1" applyFill="1" applyBorder="1" applyAlignment="1">
      <alignment vertical="center"/>
    </xf>
    <xf numFmtId="37" fontId="39" fillId="3" borderId="0" xfId="7" applyFont="1" applyFill="1" applyAlignment="1">
      <alignment horizontal="left" indent="1"/>
    </xf>
    <xf numFmtId="172" fontId="11" fillId="3" borderId="0" xfId="6" applyNumberFormat="1" applyFont="1" applyFill="1" applyProtection="1">
      <protection locked="0"/>
    </xf>
    <xf numFmtId="37" fontId="44" fillId="3" borderId="0" xfId="6" applyFont="1" applyFill="1" applyAlignment="1">
      <alignment horizontal="centerContinuous"/>
    </xf>
    <xf numFmtId="171" fontId="44" fillId="3" borderId="0" xfId="6" applyNumberFormat="1" applyFont="1" applyFill="1" applyAlignment="1">
      <alignment horizontal="centerContinuous"/>
    </xf>
    <xf numFmtId="172" fontId="44" fillId="3" borderId="0" xfId="6" applyNumberFormat="1" applyFont="1" applyFill="1" applyAlignment="1">
      <alignment horizontal="centerContinuous"/>
    </xf>
    <xf numFmtId="172" fontId="42" fillId="3" borderId="0" xfId="6" applyNumberFormat="1" applyFont="1" applyFill="1" applyAlignment="1">
      <alignment horizontal="centerContinuous"/>
    </xf>
    <xf numFmtId="3" fontId="11" fillId="3" borderId="6" xfId="6" applyNumberFormat="1" applyFont="1" applyFill="1" applyBorder="1" applyAlignment="1">
      <alignment vertical="center"/>
    </xf>
    <xf numFmtId="172" fontId="11" fillId="3" borderId="6" xfId="6" applyNumberFormat="1" applyFont="1" applyFill="1" applyBorder="1" applyProtection="1">
      <protection locked="0"/>
    </xf>
    <xf numFmtId="171" fontId="44" fillId="3" borderId="0" xfId="6" applyNumberFormat="1" applyFont="1" applyFill="1"/>
    <xf numFmtId="172" fontId="44" fillId="3" borderId="0" xfId="6" applyNumberFormat="1" applyFont="1" applyFill="1"/>
    <xf numFmtId="172" fontId="42" fillId="3" borderId="0" xfId="6" applyNumberFormat="1" applyFont="1" applyFill="1"/>
    <xf numFmtId="37" fontId="11" fillId="3" borderId="0" xfId="6" quotePrefix="1" applyFont="1" applyFill="1" applyAlignment="1">
      <alignment horizontal="left" indent="1"/>
    </xf>
    <xf numFmtId="172" fontId="13" fillId="3" borderId="2" xfId="6" applyNumberFormat="1" applyFont="1" applyFill="1" applyBorder="1" applyProtection="1">
      <protection locked="0"/>
    </xf>
    <xf numFmtId="172" fontId="11" fillId="3" borderId="2" xfId="6" applyNumberFormat="1" applyFont="1" applyFill="1" applyBorder="1" applyProtection="1">
      <protection locked="0"/>
    </xf>
    <xf numFmtId="167" fontId="12" fillId="0" borderId="0" xfId="4" applyNumberFormat="1" applyFont="1" applyProtection="1">
      <protection locked="0"/>
    </xf>
    <xf numFmtId="37" fontId="11" fillId="3" borderId="0" xfId="7" quotePrefix="1" applyFont="1" applyFill="1" applyAlignment="1">
      <alignment horizontal="left" indent="1"/>
    </xf>
    <xf numFmtId="167" fontId="12" fillId="0" borderId="2" xfId="4" applyNumberFormat="1" applyFont="1" applyBorder="1" applyProtection="1">
      <protection locked="0"/>
    </xf>
    <xf numFmtId="37" fontId="45" fillId="3" borderId="0" xfId="7" applyFont="1" applyFill="1" applyAlignment="1">
      <alignment horizontal="left" vertical="center"/>
    </xf>
    <xf numFmtId="37" fontId="45" fillId="3" borderId="0" xfId="6" quotePrefix="1" applyFont="1" applyFill="1" applyAlignment="1">
      <alignment horizontal="left" vertical="center"/>
    </xf>
    <xf numFmtId="3" fontId="12" fillId="2" borderId="2" xfId="3" applyNumberFormat="1" applyFont="1" applyFill="1" applyBorder="1" applyProtection="1">
      <protection locked="0"/>
    </xf>
    <xf numFmtId="3" fontId="13" fillId="2" borderId="2" xfId="3" applyNumberFormat="1" applyFont="1" applyFill="1" applyBorder="1" applyProtection="1">
      <protection locked="0"/>
    </xf>
    <xf numFmtId="3" fontId="47" fillId="2" borderId="2" xfId="3" applyNumberFormat="1" applyFont="1" applyFill="1" applyBorder="1" applyProtection="1">
      <protection locked="0"/>
    </xf>
    <xf numFmtId="37" fontId="29" fillId="3" borderId="6" xfId="6" applyFont="1" applyFill="1" applyBorder="1"/>
    <xf numFmtId="3" fontId="12" fillId="2" borderId="0" xfId="3" applyNumberFormat="1" applyFont="1" applyFill="1" applyProtection="1">
      <protection locked="0"/>
    </xf>
    <xf numFmtId="3" fontId="47" fillId="3" borderId="0" xfId="3" applyNumberFormat="1" applyFont="1" applyFill="1" applyProtection="1">
      <protection locked="0"/>
    </xf>
    <xf numFmtId="37" fontId="51" fillId="3" borderId="0" xfId="6" applyFont="1" applyFill="1"/>
    <xf numFmtId="172" fontId="47" fillId="3" borderId="0" xfId="6" applyNumberFormat="1" applyFont="1" applyFill="1"/>
    <xf numFmtId="172" fontId="51" fillId="3" borderId="0" xfId="6" applyNumberFormat="1" applyFont="1" applyFill="1"/>
    <xf numFmtId="37" fontId="45" fillId="3" borderId="0" xfId="7" applyFont="1" applyFill="1"/>
    <xf numFmtId="37" fontId="45" fillId="3" borderId="0" xfId="6" quotePrefix="1" applyFont="1" applyFill="1" applyAlignment="1">
      <alignment horizontal="left" indent="1"/>
    </xf>
    <xf numFmtId="172" fontId="13" fillId="3" borderId="0" xfId="6" applyNumberFormat="1" applyFont="1" applyFill="1" applyProtection="1">
      <protection locked="0"/>
    </xf>
    <xf numFmtId="37" fontId="11" fillId="3" borderId="0" xfId="6" quotePrefix="1" applyFont="1" applyFill="1" applyAlignment="1">
      <alignment horizontal="left" vertical="center" indent="1"/>
    </xf>
    <xf numFmtId="37" fontId="29" fillId="3" borderId="2" xfId="6" applyFont="1" applyFill="1" applyBorder="1"/>
    <xf numFmtId="37" fontId="11" fillId="3" borderId="0" xfId="6" applyFont="1" applyFill="1" applyAlignment="1">
      <alignment horizontal="left" indent="1"/>
    </xf>
    <xf numFmtId="37" fontId="11" fillId="3" borderId="0" xfId="6" quotePrefix="1" applyFont="1" applyFill="1" applyAlignment="1">
      <alignment horizontal="left" vertical="center"/>
    </xf>
    <xf numFmtId="37" fontId="11" fillId="3" borderId="0" xfId="7" applyFont="1" applyFill="1" applyAlignment="1">
      <alignment horizontal="left" indent="1"/>
    </xf>
    <xf numFmtId="176" fontId="11" fillId="3" borderId="0" xfId="1" applyNumberFormat="1" applyFont="1" applyFill="1" applyAlignment="1" applyProtection="1">
      <alignment horizontal="left"/>
    </xf>
    <xf numFmtId="171" fontId="11" fillId="3" borderId="0" xfId="6" applyNumberFormat="1" applyFont="1" applyFill="1" applyAlignment="1">
      <alignment horizontal="right"/>
    </xf>
    <xf numFmtId="167" fontId="12" fillId="0" borderId="13" xfId="4" applyNumberFormat="1" applyFont="1" applyBorder="1" applyProtection="1">
      <protection locked="0"/>
    </xf>
    <xf numFmtId="171" fontId="11" fillId="3" borderId="0" xfId="6" applyNumberFormat="1" applyFont="1" applyFill="1" applyAlignment="1">
      <alignment horizontal="left"/>
    </xf>
    <xf numFmtId="172" fontId="12" fillId="3" borderId="13" xfId="6" applyNumberFormat="1" applyFont="1" applyFill="1" applyBorder="1" applyAlignment="1">
      <alignment vertical="center"/>
    </xf>
    <xf numFmtId="171" fontId="11" fillId="3" borderId="0" xfId="6" applyNumberFormat="1" applyFont="1" applyFill="1" applyAlignment="1">
      <alignment horizontal="center"/>
    </xf>
    <xf numFmtId="171" fontId="10" fillId="3" borderId="0" xfId="6" applyNumberFormat="1" applyFont="1" applyFill="1" applyAlignment="1">
      <alignment horizontal="right"/>
    </xf>
    <xf numFmtId="37" fontId="12" fillId="2" borderId="0" xfId="7" applyFont="1" applyFill="1" applyAlignment="1">
      <alignment horizontal="left" indent="1"/>
    </xf>
    <xf numFmtId="37" fontId="12" fillId="2" borderId="0" xfId="7" quotePrefix="1" applyFont="1" applyFill="1" applyAlignment="1">
      <alignment horizontal="left" indent="1"/>
    </xf>
    <xf numFmtId="176" fontId="12" fillId="3" borderId="0" xfId="1" applyNumberFormat="1" applyFont="1" applyFill="1" applyAlignment="1" applyProtection="1">
      <alignment horizontal="left"/>
    </xf>
    <xf numFmtId="37" fontId="7" fillId="3" borderId="0" xfId="6" applyFont="1" applyFill="1"/>
    <xf numFmtId="171" fontId="12" fillId="3" borderId="0" xfId="6" applyNumberFormat="1" applyFont="1" applyFill="1" applyAlignment="1">
      <alignment horizontal="right"/>
    </xf>
    <xf numFmtId="167" fontId="12" fillId="0" borderId="10" xfId="4" applyNumberFormat="1" applyFont="1" applyBorder="1" applyProtection="1">
      <protection locked="0"/>
    </xf>
    <xf numFmtId="172" fontId="12" fillId="3" borderId="10" xfId="6" applyNumberFormat="1" applyFont="1" applyFill="1" applyBorder="1" applyAlignment="1">
      <alignment vertical="center"/>
    </xf>
    <xf numFmtId="37" fontId="11" fillId="3" borderId="0" xfId="5" applyFont="1" applyFill="1" applyAlignment="1">
      <alignment horizontal="left" wrapText="1"/>
    </xf>
    <xf numFmtId="37" fontId="41" fillId="3" borderId="0" xfId="5" quotePrefix="1" applyFont="1" applyFill="1" applyAlignment="1">
      <alignment horizontal="center"/>
    </xf>
    <xf numFmtId="1" fontId="11" fillId="2" borderId="0" xfId="5" quotePrefix="1" applyNumberFormat="1" applyFont="1" applyFill="1" applyAlignment="1">
      <alignment horizontal="center" vertical="center"/>
    </xf>
    <xf numFmtId="37" fontId="22" fillId="2" borderId="0" xfId="6" quotePrefix="1" applyFont="1" applyFill="1" applyAlignment="1">
      <alignment horizontal="center" vertical="center"/>
    </xf>
    <xf numFmtId="37" fontId="22" fillId="2" borderId="0" xfId="6" applyFont="1" applyFill="1" applyAlignment="1">
      <alignment horizontal="center" vertical="center"/>
    </xf>
    <xf numFmtId="37" fontId="41" fillId="2" borderId="0" xfId="5" quotePrefix="1" applyFont="1" applyFill="1" applyAlignment="1">
      <alignment horizontal="center"/>
    </xf>
    <xf numFmtId="1" fontId="11" fillId="3" borderId="0" xfId="6" quotePrefix="1" applyNumberFormat="1" applyFont="1" applyFill="1" applyAlignment="1">
      <alignment horizontal="center"/>
    </xf>
    <xf numFmtId="1" fontId="11" fillId="3" borderId="0" xfId="6" applyNumberFormat="1" applyFont="1" applyFill="1" applyAlignment="1">
      <alignment horizontal="center"/>
    </xf>
    <xf numFmtId="1" fontId="11" fillId="3" borderId="6" xfId="6" quotePrefix="1" applyNumberFormat="1" applyFont="1" applyFill="1" applyBorder="1" applyAlignment="1">
      <alignment horizontal="center"/>
    </xf>
    <xf numFmtId="1" fontId="11" fillId="3" borderId="6" xfId="6" applyNumberFormat="1" applyFont="1" applyFill="1" applyBorder="1" applyAlignment="1">
      <alignment horizontal="center"/>
    </xf>
    <xf numFmtId="164" fontId="10" fillId="2" borderId="0" xfId="2" applyFont="1" applyFill="1" applyAlignment="1">
      <alignment horizontal="center" vertical="center" wrapText="1"/>
    </xf>
    <xf numFmtId="164" fontId="10" fillId="2" borderId="6" xfId="2" applyFont="1" applyFill="1" applyBorder="1" applyAlignment="1">
      <alignment horizontal="center" vertical="center" wrapText="1"/>
    </xf>
    <xf numFmtId="164" fontId="10" fillId="2" borderId="0" xfId="2" quotePrefix="1" applyFont="1" applyFill="1" applyAlignment="1">
      <alignment horizontal="center" vertical="center" wrapText="1"/>
    </xf>
    <xf numFmtId="164" fontId="10" fillId="2" borderId="6" xfId="2" quotePrefix="1" applyFont="1" applyFill="1" applyBorder="1" applyAlignment="1">
      <alignment horizontal="center" vertical="center" wrapText="1"/>
    </xf>
  </cellXfs>
  <cellStyles count="8">
    <cellStyle name="Millares [0]" xfId="1" builtinId="6"/>
    <cellStyle name="Normal" xfId="0" builtinId="0"/>
    <cellStyle name="Normal_BG por Fondos" xfId="5" xr:uid="{211D9873-292F-440F-9963-5D2C1031B7D4}"/>
    <cellStyle name="Normal_EEIE" xfId="7" xr:uid="{E43CACE5-C24D-4008-9610-3A4E291434E0}"/>
    <cellStyle name="Normal_EEIEF96" xfId="6" xr:uid="{1D9E3D13-43E2-47F7-BB36-9074277E4EB0}"/>
    <cellStyle name="Normal_Estado de Resultados págs. 3 y de la 31 a la 40" xfId="3" xr:uid="{F66158B9-B157-4865-9F89-A83A785AF73B}"/>
    <cellStyle name="Normal_patri págs.4" xfId="2" xr:uid="{FF3C09CC-8864-4ECC-8A67-6A3E6742CD02}"/>
    <cellStyle name="Normal_PresteIntProgColViv-1 pág27" xfId="4" xr:uid="{FE78CDA4-0A8B-44DB-AF54-EA939B9EE1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1304925</xdr:colOff>
      <xdr:row>60</xdr:row>
      <xdr:rowOff>0</xdr:rowOff>
    </xdr:from>
    <xdr:to>
      <xdr:col>15</xdr:col>
      <xdr:colOff>1495425</xdr:colOff>
      <xdr:row>61</xdr:row>
      <xdr:rowOff>0</xdr:rowOff>
    </xdr:to>
    <xdr:sp macro="" textlink="">
      <xdr:nvSpPr>
        <xdr:cNvPr id="2" name="WordArt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7154525" y="15483840"/>
          <a:ext cx="2407920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969696"/>
                </a:solidFill>
                <a:round/>
                <a:headEnd/>
                <a:tailEnd/>
              </a:ln>
              <a:solidFill>
                <a:srgbClr val="FFFFFF">
                  <a:alpha val="0"/>
                </a:srgbClr>
              </a:solidFill>
              <a:effectLst/>
              <a:latin typeface="Arial Black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1247775</xdr:colOff>
          <xdr:row>55</xdr:row>
          <xdr:rowOff>123825</xdr:rowOff>
        </xdr:from>
        <xdr:to>
          <xdr:col>16</xdr:col>
          <xdr:colOff>219075</xdr:colOff>
          <xdr:row>57</xdr:row>
          <xdr:rowOff>114300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569185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933450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876300</xdr:colOff>
          <xdr:row>56</xdr:row>
          <xdr:rowOff>28575</xdr:rowOff>
        </xdr:from>
        <xdr:to>
          <xdr:col>17</xdr:col>
          <xdr:colOff>1276350</xdr:colOff>
          <xdr:row>59</xdr:row>
          <xdr:rowOff>133350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638175</xdr:colOff>
          <xdr:row>195</xdr:row>
          <xdr:rowOff>9525</xdr:rowOff>
        </xdr:from>
        <xdr:to>
          <xdr:col>19</xdr:col>
          <xdr:colOff>1314450</xdr:colOff>
          <xdr:row>196</xdr:row>
          <xdr:rowOff>200025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828675</xdr:colOff>
          <xdr:row>93</xdr:row>
          <xdr:rowOff>209550</xdr:rowOff>
        </xdr:from>
        <xdr:to>
          <xdr:col>20</xdr:col>
          <xdr:colOff>19050</xdr:colOff>
          <xdr:row>95</xdr:row>
          <xdr:rowOff>19050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666750</xdr:colOff>
          <xdr:row>244</xdr:row>
          <xdr:rowOff>85725</xdr:rowOff>
        </xdr:from>
        <xdr:to>
          <xdr:col>19</xdr:col>
          <xdr:colOff>1352550</xdr:colOff>
          <xdr:row>245</xdr:row>
          <xdr:rowOff>228600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704850</xdr:colOff>
          <xdr:row>280</xdr:row>
          <xdr:rowOff>123825</xdr:rowOff>
        </xdr:from>
        <xdr:to>
          <xdr:col>19</xdr:col>
          <xdr:colOff>1381125</xdr:colOff>
          <xdr:row>282</xdr:row>
          <xdr:rowOff>19050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742950</xdr:colOff>
          <xdr:row>346</xdr:row>
          <xdr:rowOff>247650</xdr:rowOff>
        </xdr:from>
        <xdr:to>
          <xdr:col>19</xdr:col>
          <xdr:colOff>1428750</xdr:colOff>
          <xdr:row>348</xdr:row>
          <xdr:rowOff>247650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809625</xdr:colOff>
          <xdr:row>53</xdr:row>
          <xdr:rowOff>19050</xdr:rowOff>
        </xdr:from>
        <xdr:to>
          <xdr:col>19</xdr:col>
          <xdr:colOff>1485900</xdr:colOff>
          <xdr:row>54</xdr:row>
          <xdr:rowOff>171450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819150</xdr:colOff>
          <xdr:row>148</xdr:row>
          <xdr:rowOff>9525</xdr:rowOff>
        </xdr:from>
        <xdr:to>
          <xdr:col>20</xdr:col>
          <xdr:colOff>0</xdr:colOff>
          <xdr:row>149</xdr:row>
          <xdr:rowOff>200025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3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100226</xdr:colOff>
      <xdr:row>55</xdr:row>
      <xdr:rowOff>44925</xdr:rowOff>
    </xdr:from>
    <xdr:to>
      <xdr:col>23</xdr:col>
      <xdr:colOff>757451</xdr:colOff>
      <xdr:row>56</xdr:row>
      <xdr:rowOff>60421</xdr:rowOff>
    </xdr:to>
    <xdr:sp macro="" textlink="">
      <xdr:nvSpPr>
        <xdr:cNvPr id="2" name="WordArt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241666" y="15985965"/>
          <a:ext cx="2447925" cy="259336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PA" sz="1800" b="1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704850</xdr:colOff>
          <xdr:row>53</xdr:row>
          <xdr:rowOff>247650</xdr:rowOff>
        </xdr:from>
        <xdr:to>
          <xdr:col>23</xdr:col>
          <xdr:colOff>1085850</xdr:colOff>
          <xdr:row>53</xdr:row>
          <xdr:rowOff>628650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4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tados%20Financieros%202023%20Final\Balances%20Diciembre%202023%20-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Gral Comparativo"/>
      <sheetName val="Balance Gral Comparativo "/>
      <sheetName val="Balance Gral x Fondos"/>
      <sheetName val="Balance Gral I.V.M. FINAL"/>
      <sheetName val="Balance Gral Riesgos Prof FINAL"/>
      <sheetName val="Fideicomisos FINAL"/>
      <sheetName val="Subsistema Mixto FINAL"/>
      <sheetName val="Administración"/>
    </sheetNames>
    <sheetDataSet>
      <sheetData sheetId="0" refreshError="1"/>
      <sheetData sheetId="1" refreshError="1"/>
      <sheetData sheetId="2">
        <row r="7">
          <cell r="B7" t="str">
            <v>Al 31 de Diciembre de 2023</v>
          </cell>
        </row>
        <row r="8">
          <cell r="B8" t="str">
            <v>En Balboas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png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8.bin"/><Relationship Id="rId3" Type="http://schemas.openxmlformats.org/officeDocument/2006/relationships/oleObject" Target="../embeddings/oleObject4.bin"/><Relationship Id="rId7" Type="http://schemas.openxmlformats.org/officeDocument/2006/relationships/oleObject" Target="../embeddings/oleObject7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oleObject" Target="../embeddings/oleObject6.bin"/><Relationship Id="rId5" Type="http://schemas.openxmlformats.org/officeDocument/2006/relationships/oleObject" Target="../embeddings/oleObject5.bin"/><Relationship Id="rId10" Type="http://schemas.openxmlformats.org/officeDocument/2006/relationships/oleObject" Target="../embeddings/oleObject10.bin"/><Relationship Id="rId4" Type="http://schemas.openxmlformats.org/officeDocument/2006/relationships/image" Target="../media/image1.png"/><Relationship Id="rId9" Type="http://schemas.openxmlformats.org/officeDocument/2006/relationships/oleObject" Target="../embeddings/oleObject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1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7A76E-6AB3-490D-B2AD-DE029593B8E3}">
  <dimension ref="A1:V89"/>
  <sheetViews>
    <sheetView topLeftCell="E34" zoomScale="75" zoomScaleNormal="75" workbookViewId="0">
      <selection activeCell="T34" sqref="T34"/>
    </sheetView>
  </sheetViews>
  <sheetFormatPr baseColWidth="10" defaultColWidth="14.140625" defaultRowHeight="15.75" x14ac:dyDescent="0.25"/>
  <cols>
    <col min="1" max="1" width="9.28515625" style="79" customWidth="1"/>
    <col min="2" max="2" width="1.7109375" style="79" customWidth="1"/>
    <col min="3" max="3" width="3" style="79" customWidth="1"/>
    <col min="4" max="4" width="64.28515625" style="79" customWidth="1"/>
    <col min="5" max="5" width="6" style="79" customWidth="1"/>
    <col min="6" max="6" width="26.42578125" style="79" customWidth="1"/>
    <col min="7" max="7" width="5.85546875" style="79" customWidth="1"/>
    <col min="8" max="8" width="27" style="79" bestFit="1" customWidth="1"/>
    <col min="9" max="10" width="2.5703125" style="79" customWidth="1"/>
    <col min="11" max="11" width="8.42578125" style="79" customWidth="1"/>
    <col min="12" max="12" width="67.28515625" style="79" customWidth="1"/>
    <col min="13" max="13" width="6.85546875" style="79" customWidth="1"/>
    <col min="14" max="14" width="28.7109375" style="79" customWidth="1"/>
    <col min="15" max="15" width="5.85546875" style="79" customWidth="1"/>
    <col min="16" max="16" width="27" style="79" bestFit="1" customWidth="1"/>
    <col min="17" max="17" width="9.140625" style="79" customWidth="1"/>
    <col min="18" max="18" width="1.28515625" style="79" customWidth="1"/>
    <col min="19" max="19" width="24.85546875" style="79" customWidth="1"/>
    <col min="20" max="20" width="52.28515625" style="80" customWidth="1"/>
    <col min="21" max="21" width="23.28515625" style="79" customWidth="1"/>
    <col min="22" max="22" width="20.140625" style="79" customWidth="1"/>
    <col min="23" max="16384" width="14.140625" style="79"/>
  </cols>
  <sheetData>
    <row r="1" spans="1:22" ht="6.75" customHeight="1" x14ac:dyDescent="0.25"/>
    <row r="2" spans="1:22" ht="15" customHeight="1" x14ac:dyDescent="0.35">
      <c r="P2" s="81"/>
    </row>
    <row r="3" spans="1:22" ht="37.5" x14ac:dyDescent="0.5">
      <c r="C3" s="82" t="s">
        <v>0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/>
    </row>
    <row r="4" spans="1:22" ht="33" x14ac:dyDescent="0.45">
      <c r="C4" s="84" t="s">
        <v>38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6"/>
    </row>
    <row r="5" spans="1:22" ht="33" x14ac:dyDescent="0.45">
      <c r="C5" s="87" t="s">
        <v>39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8"/>
    </row>
    <row r="6" spans="1:22" ht="33" x14ac:dyDescent="0.45">
      <c r="C6" s="87" t="s">
        <v>3</v>
      </c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8"/>
    </row>
    <row r="7" spans="1:22" ht="5.25" customHeight="1" x14ac:dyDescent="0.25">
      <c r="C7" s="89"/>
      <c r="D7" s="89"/>
      <c r="E7" s="89"/>
      <c r="F7" s="89"/>
      <c r="G7" s="89"/>
      <c r="H7" s="90"/>
      <c r="I7" s="89"/>
      <c r="J7" s="89"/>
      <c r="K7" s="89"/>
      <c r="L7" s="89"/>
      <c r="M7" s="89"/>
      <c r="N7" s="89"/>
      <c r="O7" s="89"/>
      <c r="P7" s="89"/>
      <c r="Q7" s="89"/>
    </row>
    <row r="8" spans="1:22" ht="11.25" customHeight="1" x14ac:dyDescent="0.25"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3"/>
    </row>
    <row r="9" spans="1:22" s="89" customFormat="1" ht="25.5" x14ac:dyDescent="0.35">
      <c r="C9" s="94"/>
      <c r="D9" s="95"/>
      <c r="E9" s="95"/>
      <c r="F9" s="96" t="s">
        <v>40</v>
      </c>
      <c r="G9" s="97"/>
      <c r="H9" s="96" t="s">
        <v>41</v>
      </c>
      <c r="I9" s="95"/>
      <c r="J9" s="95"/>
      <c r="K9" s="95"/>
      <c r="L9" s="95" t="s">
        <v>8</v>
      </c>
      <c r="M9" s="95"/>
      <c r="N9" s="96" t="s">
        <v>40</v>
      </c>
      <c r="O9" s="97"/>
      <c r="P9" s="96" t="s">
        <v>41</v>
      </c>
      <c r="Q9" s="98"/>
      <c r="R9" s="95"/>
      <c r="S9" s="95"/>
      <c r="T9" s="99"/>
    </row>
    <row r="10" spans="1:22" s="89" customFormat="1" ht="6" customHeight="1" x14ac:dyDescent="0.25">
      <c r="C10" s="94"/>
      <c r="D10" s="95"/>
      <c r="E10" s="95"/>
      <c r="F10" s="97"/>
      <c r="G10" s="97"/>
      <c r="H10" s="97"/>
      <c r="I10" s="95"/>
      <c r="J10" s="95"/>
      <c r="K10" s="95"/>
      <c r="L10" s="95"/>
      <c r="M10" s="95"/>
      <c r="N10" s="97"/>
      <c r="O10" s="97"/>
      <c r="P10" s="97"/>
      <c r="Q10" s="98"/>
      <c r="R10" s="95"/>
      <c r="S10" s="95"/>
      <c r="T10" s="99"/>
    </row>
    <row r="11" spans="1:22" s="89" customFormat="1" ht="27" customHeight="1" x14ac:dyDescent="0.4">
      <c r="C11" s="100" t="s">
        <v>42</v>
      </c>
      <c r="D11" s="95"/>
      <c r="E11" s="95"/>
      <c r="F11" s="97"/>
      <c r="G11" s="97"/>
      <c r="H11" s="97"/>
      <c r="I11" s="95"/>
      <c r="J11" s="95"/>
      <c r="K11" s="101" t="s">
        <v>43</v>
      </c>
      <c r="L11" s="95"/>
      <c r="M11" s="95"/>
      <c r="N11" s="97"/>
      <c r="O11" s="97"/>
      <c r="P11" s="97"/>
      <c r="Q11" s="98"/>
      <c r="R11" s="95"/>
      <c r="S11" s="95"/>
      <c r="T11" s="99"/>
    </row>
    <row r="12" spans="1:22" s="89" customFormat="1" ht="27" x14ac:dyDescent="0.35">
      <c r="A12" s="89" t="s">
        <v>44</v>
      </c>
      <c r="B12" s="102"/>
      <c r="C12" s="103" t="s">
        <v>45</v>
      </c>
      <c r="D12" s="104"/>
      <c r="E12" s="97"/>
      <c r="F12" s="97"/>
      <c r="G12" s="97"/>
      <c r="H12" s="97"/>
      <c r="I12" s="95"/>
      <c r="J12" s="95"/>
      <c r="K12" s="105" t="s">
        <v>46</v>
      </c>
      <c r="L12" s="95"/>
      <c r="M12" s="95"/>
      <c r="N12" s="97"/>
      <c r="O12" s="97"/>
      <c r="P12" s="97"/>
      <c r="Q12" s="98"/>
      <c r="R12" s="95"/>
      <c r="S12" s="95"/>
      <c r="T12" s="99"/>
    </row>
    <row r="13" spans="1:22" s="89" customFormat="1" ht="27.75" x14ac:dyDescent="0.4">
      <c r="B13" s="102"/>
      <c r="C13" s="106"/>
      <c r="D13" s="107" t="s">
        <v>47</v>
      </c>
      <c r="E13" s="108" t="s">
        <v>25</v>
      </c>
      <c r="F13" s="109">
        <v>3639051470</v>
      </c>
      <c r="G13" s="108" t="s">
        <v>25</v>
      </c>
      <c r="H13" s="109">
        <v>3567197102</v>
      </c>
      <c r="I13" s="95"/>
      <c r="J13" s="95"/>
      <c r="K13" s="107" t="s">
        <v>48</v>
      </c>
      <c r="L13" s="110"/>
      <c r="M13" s="111"/>
      <c r="N13" s="109"/>
      <c r="O13" s="111"/>
      <c r="P13" s="112"/>
      <c r="Q13" s="98"/>
      <c r="R13" s="95"/>
      <c r="S13" s="95"/>
      <c r="T13" s="113"/>
    </row>
    <row r="14" spans="1:22" s="89" customFormat="1" ht="24" x14ac:dyDescent="0.35">
      <c r="B14" s="102"/>
      <c r="C14" s="114"/>
      <c r="D14" s="107" t="s">
        <v>49</v>
      </c>
      <c r="E14" s="95"/>
      <c r="F14" s="109">
        <v>624025000</v>
      </c>
      <c r="G14" s="95"/>
      <c r="H14" s="109">
        <v>687634000</v>
      </c>
      <c r="I14" s="95"/>
      <c r="J14" s="95"/>
      <c r="K14" s="95"/>
      <c r="L14" s="110" t="s">
        <v>50</v>
      </c>
      <c r="M14" s="111" t="s">
        <v>25</v>
      </c>
      <c r="N14" s="109">
        <v>269202593</v>
      </c>
      <c r="O14" s="111" t="s">
        <v>25</v>
      </c>
      <c r="P14" s="109">
        <v>189451898</v>
      </c>
      <c r="Q14" s="98"/>
      <c r="R14" s="95"/>
      <c r="S14" s="115"/>
      <c r="T14" s="116"/>
    </row>
    <row r="15" spans="1:22" s="89" customFormat="1" ht="24" x14ac:dyDescent="0.35">
      <c r="B15" s="102"/>
      <c r="C15" s="114"/>
      <c r="D15" s="117" t="s">
        <v>51</v>
      </c>
      <c r="E15" s="95"/>
      <c r="F15" s="109">
        <v>1073825267</v>
      </c>
      <c r="G15" s="95"/>
      <c r="H15" s="109">
        <v>787999871</v>
      </c>
      <c r="I15" s="95"/>
      <c r="J15" s="95"/>
      <c r="K15" s="95"/>
      <c r="L15" s="107" t="s">
        <v>52</v>
      </c>
      <c r="M15" s="95"/>
      <c r="N15" s="109">
        <v>15404963</v>
      </c>
      <c r="O15" s="95"/>
      <c r="P15" s="109">
        <v>17837001</v>
      </c>
      <c r="Q15" s="98"/>
      <c r="R15" s="95"/>
      <c r="S15" s="118"/>
      <c r="T15" s="109"/>
      <c r="U15" s="119"/>
      <c r="V15" s="119"/>
    </row>
    <row r="16" spans="1:22" s="89" customFormat="1" ht="24" x14ac:dyDescent="0.35">
      <c r="B16" s="102"/>
      <c r="C16" s="114"/>
      <c r="D16" s="107" t="s">
        <v>53</v>
      </c>
      <c r="E16" s="95"/>
      <c r="F16" s="109">
        <v>77397467</v>
      </c>
      <c r="G16" s="95"/>
      <c r="H16" s="109">
        <v>67153311</v>
      </c>
      <c r="I16" s="95"/>
      <c r="J16" s="95"/>
      <c r="K16" s="95"/>
      <c r="L16" s="107" t="s">
        <v>54</v>
      </c>
      <c r="M16" s="95"/>
      <c r="N16" s="109">
        <v>49079627</v>
      </c>
      <c r="O16" s="95"/>
      <c r="P16" s="109"/>
      <c r="Q16" s="98"/>
      <c r="R16" s="95"/>
      <c r="S16" s="118"/>
      <c r="T16" s="116"/>
      <c r="U16" s="119"/>
      <c r="V16" s="119"/>
    </row>
    <row r="17" spans="3:22" s="89" customFormat="1" ht="24" x14ac:dyDescent="0.35">
      <c r="C17" s="114"/>
      <c r="D17" s="107" t="s">
        <v>55</v>
      </c>
      <c r="E17" s="95"/>
      <c r="F17" s="109">
        <v>68583597</v>
      </c>
      <c r="G17" s="95"/>
      <c r="H17" s="109">
        <v>154402072</v>
      </c>
      <c r="I17" s="95"/>
      <c r="J17" s="95"/>
      <c r="K17" s="107"/>
      <c r="L17" s="107" t="s">
        <v>56</v>
      </c>
      <c r="M17" s="95"/>
      <c r="N17" s="109">
        <v>41375170</v>
      </c>
      <c r="O17" s="95"/>
      <c r="P17" s="109">
        <v>84710912</v>
      </c>
      <c r="Q17" s="98"/>
      <c r="R17" s="95"/>
      <c r="S17" s="118"/>
      <c r="T17" s="116"/>
      <c r="U17" s="119"/>
      <c r="V17" s="119"/>
    </row>
    <row r="18" spans="3:22" s="89" customFormat="1" ht="24" x14ac:dyDescent="0.35">
      <c r="C18" s="114"/>
      <c r="D18" s="107" t="s">
        <v>57</v>
      </c>
      <c r="E18" s="95"/>
      <c r="F18" s="109"/>
      <c r="G18" s="95"/>
      <c r="H18" s="109"/>
      <c r="I18" s="95"/>
      <c r="J18" s="95"/>
      <c r="K18" s="107" t="s">
        <v>58</v>
      </c>
      <c r="L18" s="107"/>
      <c r="M18" s="95"/>
      <c r="N18" s="109">
        <v>552376010</v>
      </c>
      <c r="O18" s="95"/>
      <c r="P18" s="109">
        <v>539100156</v>
      </c>
      <c r="Q18" s="98"/>
      <c r="R18" s="95"/>
      <c r="S18" s="120"/>
      <c r="T18" s="99"/>
      <c r="U18" s="119"/>
      <c r="V18" s="119"/>
    </row>
    <row r="19" spans="3:22" s="89" customFormat="1" ht="24" x14ac:dyDescent="0.35">
      <c r="C19" s="114"/>
      <c r="D19" s="107"/>
      <c r="E19" s="95"/>
      <c r="F19" s="109"/>
      <c r="G19" s="95"/>
      <c r="H19" s="109"/>
      <c r="I19" s="95"/>
      <c r="J19" s="95"/>
      <c r="K19" s="107" t="s">
        <v>59</v>
      </c>
      <c r="L19" s="107"/>
      <c r="M19" s="95"/>
      <c r="N19" s="109">
        <v>151374874</v>
      </c>
      <c r="O19" s="95"/>
      <c r="P19" s="109">
        <v>122715832</v>
      </c>
      <c r="Q19" s="98"/>
      <c r="R19" s="95"/>
      <c r="S19" s="120"/>
      <c r="T19" s="99"/>
      <c r="U19" s="119"/>
      <c r="V19" s="119"/>
    </row>
    <row r="20" spans="3:22" s="89" customFormat="1" ht="24" hidden="1" x14ac:dyDescent="0.35">
      <c r="C20" s="114"/>
      <c r="D20" s="107"/>
      <c r="E20" s="95"/>
      <c r="F20" s="109"/>
      <c r="G20" s="95"/>
      <c r="H20" s="109"/>
      <c r="I20" s="95"/>
      <c r="J20" s="95"/>
      <c r="Q20" s="98"/>
      <c r="R20" s="95"/>
      <c r="S20" s="120"/>
      <c r="T20" s="99"/>
      <c r="U20" s="119"/>
      <c r="V20" s="119"/>
    </row>
    <row r="21" spans="3:22" s="89" customFormat="1" ht="9" customHeight="1" x14ac:dyDescent="0.35">
      <c r="C21" s="114"/>
      <c r="D21" s="107"/>
      <c r="E21" s="95"/>
      <c r="F21" s="121"/>
      <c r="G21" s="95"/>
      <c r="H21" s="121"/>
      <c r="I21" s="95"/>
      <c r="J21" s="95"/>
      <c r="K21" s="95"/>
      <c r="L21" s="95"/>
      <c r="M21" s="95"/>
      <c r="N21" s="95"/>
      <c r="O21" s="95"/>
      <c r="P21" s="95"/>
      <c r="Q21" s="98"/>
      <c r="R21" s="95"/>
      <c r="S21" s="120"/>
      <c r="T21" s="99"/>
      <c r="U21" s="119"/>
      <c r="V21" s="119"/>
    </row>
    <row r="22" spans="3:22" s="89" customFormat="1" ht="4.5" customHeight="1" x14ac:dyDescent="0.35">
      <c r="C22" s="114"/>
      <c r="D22" s="107"/>
      <c r="E22" s="95"/>
      <c r="F22" s="109"/>
      <c r="G22" s="95"/>
      <c r="H22" s="109"/>
      <c r="I22" s="95"/>
      <c r="J22" s="95"/>
      <c r="K22" s="107"/>
      <c r="L22" s="122"/>
      <c r="M22" s="95"/>
      <c r="N22" s="121"/>
      <c r="O22" s="95"/>
      <c r="P22" s="121"/>
      <c r="Q22" s="98"/>
      <c r="R22" s="95"/>
      <c r="S22" s="120"/>
      <c r="T22" s="99"/>
      <c r="U22" s="119"/>
      <c r="V22" s="119"/>
    </row>
    <row r="23" spans="3:22" s="89" customFormat="1" ht="18.75" customHeight="1" x14ac:dyDescent="0.3">
      <c r="C23" s="123"/>
      <c r="D23" s="110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8"/>
      <c r="R23" s="95"/>
      <c r="S23" s="120"/>
      <c r="T23" s="99"/>
      <c r="U23" s="119"/>
      <c r="V23" s="119"/>
    </row>
    <row r="24" spans="3:22" s="89" customFormat="1" ht="5.25" customHeight="1" x14ac:dyDescent="0.35">
      <c r="C24" s="123"/>
      <c r="D24" s="124"/>
      <c r="E24" s="95"/>
      <c r="F24" s="109"/>
      <c r="G24" s="95"/>
      <c r="H24" s="109"/>
      <c r="I24" s="95"/>
      <c r="J24" s="95"/>
      <c r="K24" s="95"/>
      <c r="L24" s="95"/>
      <c r="M24" s="95"/>
      <c r="N24" s="95"/>
      <c r="O24" s="95"/>
      <c r="P24" s="95"/>
      <c r="Q24" s="98"/>
      <c r="R24" s="95"/>
      <c r="S24" s="120"/>
      <c r="T24" s="99"/>
      <c r="U24" s="119"/>
      <c r="V24" s="119"/>
    </row>
    <row r="25" spans="3:22" s="89" customFormat="1" ht="25.5" x14ac:dyDescent="0.35">
      <c r="C25" s="123"/>
      <c r="D25" s="125" t="s">
        <v>60</v>
      </c>
      <c r="E25" s="126"/>
      <c r="F25" s="109">
        <f>SUM(F13:F24)</f>
        <v>5482882801</v>
      </c>
      <c r="G25" s="126"/>
      <c r="H25" s="109">
        <f>SUM(H13:H24)</f>
        <v>5264386356</v>
      </c>
      <c r="I25" s="95"/>
      <c r="J25" s="95"/>
      <c r="K25" s="95"/>
      <c r="L25" s="125" t="s">
        <v>61</v>
      </c>
      <c r="M25" s="95"/>
      <c r="N25" s="127">
        <f>SUM(N14:N19)</f>
        <v>1078813237</v>
      </c>
      <c r="O25" s="95"/>
      <c r="P25" s="127">
        <f>SUM(P14:P19)</f>
        <v>953815799</v>
      </c>
      <c r="Q25" s="98"/>
      <c r="R25" s="95"/>
      <c r="S25" s="120"/>
      <c r="T25" s="99"/>
      <c r="U25" s="119"/>
      <c r="V25" s="119"/>
    </row>
    <row r="26" spans="3:22" s="89" customFormat="1" ht="6" customHeight="1" x14ac:dyDescent="0.2">
      <c r="C26" s="128"/>
      <c r="D26" s="95"/>
      <c r="E26" s="95"/>
      <c r="F26" s="95"/>
      <c r="G26" s="95"/>
      <c r="H26" s="95"/>
      <c r="I26" s="95"/>
      <c r="J26" s="95"/>
      <c r="K26" s="95"/>
      <c r="L26" s="95" t="s">
        <v>62</v>
      </c>
      <c r="M26" s="95"/>
      <c r="N26" s="95"/>
      <c r="O26" s="95"/>
      <c r="P26" s="95"/>
      <c r="Q26" s="98"/>
      <c r="R26" s="95"/>
      <c r="S26" s="95"/>
      <c r="T26" s="99"/>
    </row>
    <row r="27" spans="3:22" s="89" customFormat="1" ht="27" x14ac:dyDescent="0.35">
      <c r="C27" s="128"/>
      <c r="D27" s="95"/>
      <c r="E27" s="95"/>
      <c r="F27" s="95"/>
      <c r="G27" s="95"/>
      <c r="H27" s="95"/>
      <c r="I27" s="95"/>
      <c r="J27" s="95"/>
      <c r="K27" s="129" t="s">
        <v>63</v>
      </c>
      <c r="L27" s="129"/>
      <c r="M27" s="95"/>
      <c r="N27" s="95"/>
      <c r="O27" s="95"/>
      <c r="P27" s="95"/>
      <c r="Q27" s="98"/>
      <c r="R27" s="95"/>
      <c r="S27" s="95"/>
      <c r="T27" s="99"/>
    </row>
    <row r="28" spans="3:22" s="89" customFormat="1" ht="25.5" x14ac:dyDescent="0.35">
      <c r="C28" s="130"/>
      <c r="D28" s="107" t="s">
        <v>64</v>
      </c>
      <c r="E28" s="97"/>
      <c r="F28" s="109">
        <v>3503082790</v>
      </c>
      <c r="G28" s="97"/>
      <c r="H28" s="109">
        <v>4041228410</v>
      </c>
      <c r="I28" s="95"/>
      <c r="J28" s="95"/>
      <c r="K28" s="107" t="s">
        <v>65</v>
      </c>
      <c r="L28" s="107"/>
      <c r="M28" s="95"/>
      <c r="N28" s="131"/>
      <c r="O28" s="95"/>
      <c r="P28" s="127"/>
      <c r="Q28" s="98"/>
      <c r="R28" s="95"/>
      <c r="S28" s="95"/>
      <c r="T28" s="99"/>
    </row>
    <row r="29" spans="3:22" s="89" customFormat="1" ht="24" x14ac:dyDescent="0.35">
      <c r="C29" s="132"/>
      <c r="D29" s="133"/>
      <c r="E29" s="97"/>
      <c r="F29" s="95"/>
      <c r="G29" s="97"/>
      <c r="H29" s="95"/>
      <c r="I29" s="95"/>
      <c r="J29" s="95"/>
      <c r="K29" s="107"/>
      <c r="L29" s="107" t="s">
        <v>66</v>
      </c>
      <c r="M29" s="95"/>
      <c r="N29" s="109">
        <v>3187718449</v>
      </c>
      <c r="O29" s="95"/>
      <c r="P29" s="109">
        <v>2726784601</v>
      </c>
      <c r="Q29" s="98"/>
      <c r="R29" s="95"/>
      <c r="S29" s="95"/>
      <c r="T29" s="99"/>
    </row>
    <row r="30" spans="3:22" s="89" customFormat="1" ht="24" x14ac:dyDescent="0.35">
      <c r="C30" s="134"/>
      <c r="D30" s="110"/>
      <c r="E30" s="95"/>
      <c r="F30" s="95"/>
      <c r="G30" s="95"/>
      <c r="H30" s="95"/>
      <c r="I30" s="95"/>
      <c r="J30" s="95"/>
      <c r="K30" s="107" t="s">
        <v>67</v>
      </c>
      <c r="L30" s="107"/>
      <c r="M30" s="95"/>
      <c r="N30" s="109">
        <v>21447633</v>
      </c>
      <c r="O30" s="95"/>
      <c r="P30" s="109">
        <v>21337999</v>
      </c>
      <c r="Q30" s="98"/>
      <c r="R30" s="95"/>
      <c r="S30" s="95"/>
      <c r="T30" s="99"/>
    </row>
    <row r="31" spans="3:22" s="89" customFormat="1" ht="24.75" customHeight="1" x14ac:dyDescent="0.35">
      <c r="C31" s="130"/>
      <c r="D31" s="107" t="s">
        <v>68</v>
      </c>
      <c r="E31" s="95"/>
      <c r="F31" s="95"/>
      <c r="G31" s="95"/>
      <c r="H31" s="95"/>
      <c r="I31" s="95"/>
      <c r="J31" s="95"/>
      <c r="K31" s="107"/>
      <c r="L31" s="107"/>
      <c r="M31" s="95"/>
      <c r="N31" s="109"/>
      <c r="O31" s="95"/>
      <c r="P31" s="109"/>
      <c r="Q31" s="98"/>
      <c r="R31" s="95"/>
      <c r="S31" s="95"/>
      <c r="T31" s="99"/>
    </row>
    <row r="32" spans="3:22" s="89" customFormat="1" ht="25.5" x14ac:dyDescent="0.35">
      <c r="C32" s="132"/>
      <c r="D32" s="107" t="s">
        <v>69</v>
      </c>
      <c r="E32" s="95"/>
      <c r="F32" s="109">
        <v>3157963063</v>
      </c>
      <c r="G32" s="95"/>
      <c r="H32" s="109">
        <v>1930541853</v>
      </c>
      <c r="I32" s="95"/>
      <c r="J32" s="95"/>
      <c r="K32" s="95"/>
      <c r="L32" s="125" t="s">
        <v>70</v>
      </c>
      <c r="M32" s="95"/>
      <c r="N32" s="135">
        <f>SUM(N29:N30)</f>
        <v>3209166082</v>
      </c>
      <c r="O32" s="95"/>
      <c r="P32" s="135">
        <f>SUM(P29:P30)</f>
        <v>2748122600</v>
      </c>
      <c r="Q32" s="98"/>
      <c r="R32" s="95"/>
      <c r="S32" s="95"/>
      <c r="T32" s="99"/>
    </row>
    <row r="33" spans="3:20" s="89" customFormat="1" ht="6" customHeight="1" x14ac:dyDescent="0.35">
      <c r="C33" s="136"/>
      <c r="D33" s="110"/>
      <c r="E33" s="95"/>
      <c r="F33" s="109"/>
      <c r="G33" s="95"/>
      <c r="H33" s="109"/>
      <c r="I33" s="95"/>
      <c r="J33" s="95"/>
      <c r="K33" s="95"/>
      <c r="L33" s="110"/>
      <c r="M33" s="95"/>
      <c r="N33" s="109"/>
      <c r="O33" s="95"/>
      <c r="P33" s="109"/>
      <c r="Q33" s="98"/>
      <c r="R33" s="95"/>
      <c r="S33" s="95"/>
      <c r="T33" s="99"/>
    </row>
    <row r="34" spans="3:20" s="89" customFormat="1" ht="23.25" x14ac:dyDescent="0.3">
      <c r="C34" s="130"/>
      <c r="D34" s="107" t="s">
        <v>71</v>
      </c>
      <c r="E34" s="97"/>
      <c r="F34" s="97"/>
      <c r="G34" s="97"/>
      <c r="H34" s="97"/>
      <c r="I34" s="95"/>
      <c r="J34" s="95"/>
      <c r="K34" s="107"/>
      <c r="L34" s="95"/>
      <c r="M34" s="95"/>
      <c r="N34" s="95"/>
      <c r="O34" s="95"/>
      <c r="P34" s="95"/>
      <c r="Q34" s="98"/>
      <c r="R34" s="95"/>
      <c r="S34" s="95"/>
      <c r="T34" s="99"/>
    </row>
    <row r="35" spans="3:20" s="89" customFormat="1" ht="24" x14ac:dyDescent="0.35">
      <c r="C35" s="132"/>
      <c r="D35" s="107" t="s">
        <v>72</v>
      </c>
      <c r="E35" s="95"/>
      <c r="F35" s="109">
        <v>50090647</v>
      </c>
      <c r="G35" s="95"/>
      <c r="H35" s="109">
        <v>36465479</v>
      </c>
      <c r="I35" s="95"/>
      <c r="J35" s="95"/>
      <c r="K35" s="107" t="s">
        <v>73</v>
      </c>
      <c r="L35" s="107"/>
      <c r="M35" s="95"/>
      <c r="N35" s="97"/>
      <c r="O35" s="95"/>
      <c r="P35" s="97"/>
      <c r="Q35" s="98" t="s">
        <v>8</v>
      </c>
      <c r="R35" s="95"/>
      <c r="S35" s="95"/>
      <c r="T35" s="99"/>
    </row>
    <row r="36" spans="3:20" s="89" customFormat="1" ht="23.25" x14ac:dyDescent="0.3">
      <c r="C36" s="137"/>
      <c r="D36" s="110"/>
      <c r="E36" s="97"/>
      <c r="F36" s="97"/>
      <c r="G36" s="97"/>
      <c r="H36" s="97"/>
      <c r="I36" s="95"/>
      <c r="J36" s="95"/>
      <c r="K36" s="107"/>
      <c r="L36" s="95"/>
      <c r="M36" s="95"/>
      <c r="N36" s="95" t="s">
        <v>74</v>
      </c>
      <c r="O36" s="95"/>
      <c r="P36" s="95"/>
      <c r="Q36" s="98"/>
      <c r="R36" s="95"/>
      <c r="S36" s="95"/>
      <c r="T36" s="99"/>
    </row>
    <row r="37" spans="3:20" s="89" customFormat="1" ht="28.5" thickBot="1" x14ac:dyDescent="0.4">
      <c r="C37" s="130"/>
      <c r="D37" s="107" t="s">
        <v>75</v>
      </c>
      <c r="E37" s="97"/>
      <c r="F37" s="97"/>
      <c r="G37" s="97"/>
      <c r="H37" s="97"/>
      <c r="I37" s="95"/>
      <c r="J37" s="95"/>
      <c r="K37" s="138" t="s">
        <v>76</v>
      </c>
      <c r="L37" s="95"/>
      <c r="M37" s="139" t="s">
        <v>25</v>
      </c>
      <c r="N37" s="140">
        <f>N25+N32</f>
        <v>4287979319</v>
      </c>
      <c r="O37" s="139" t="s">
        <v>25</v>
      </c>
      <c r="P37" s="140">
        <f>P25+P32</f>
        <v>3701938399</v>
      </c>
      <c r="Q37" s="98"/>
      <c r="R37" s="95"/>
      <c r="S37" s="95"/>
      <c r="T37" s="99"/>
    </row>
    <row r="38" spans="3:20" s="89" customFormat="1" ht="24.75" thickTop="1" x14ac:dyDescent="0.35">
      <c r="C38" s="132"/>
      <c r="D38" s="107" t="s">
        <v>77</v>
      </c>
      <c r="E38" s="95"/>
      <c r="F38" s="109">
        <v>80739114</v>
      </c>
      <c r="G38" s="95"/>
      <c r="H38" s="109">
        <v>79457491</v>
      </c>
      <c r="I38" s="95"/>
      <c r="J38" s="95"/>
      <c r="K38" s="107"/>
      <c r="L38" s="95"/>
      <c r="M38" s="95"/>
      <c r="N38" s="97"/>
      <c r="O38" s="95"/>
      <c r="P38" s="97"/>
      <c r="Q38" s="98"/>
      <c r="R38" s="95"/>
      <c r="S38" s="95"/>
      <c r="T38" s="99"/>
    </row>
    <row r="39" spans="3:20" s="89" customFormat="1" ht="5.25" customHeight="1" x14ac:dyDescent="0.3">
      <c r="C39" s="137"/>
      <c r="D39" s="110"/>
      <c r="E39" s="97"/>
      <c r="F39" s="97"/>
      <c r="G39" s="97"/>
      <c r="H39" s="97"/>
      <c r="I39" s="95"/>
      <c r="J39" s="95"/>
      <c r="K39" s="95"/>
      <c r="L39" s="95"/>
      <c r="M39" s="95"/>
      <c r="N39" s="95"/>
      <c r="O39" s="95"/>
      <c r="P39" s="95"/>
      <c r="Q39" s="98"/>
      <c r="R39" s="95"/>
      <c r="S39" s="95"/>
      <c r="T39" s="99"/>
    </row>
    <row r="40" spans="3:20" s="89" customFormat="1" ht="27.75" x14ac:dyDescent="0.4">
      <c r="C40" s="132"/>
      <c r="D40" s="107" t="s">
        <v>78</v>
      </c>
      <c r="E40" s="95"/>
      <c r="F40" s="109"/>
      <c r="G40" s="95"/>
      <c r="H40" s="109"/>
      <c r="I40" s="95"/>
      <c r="J40" s="95"/>
      <c r="K40" s="101" t="s">
        <v>79</v>
      </c>
      <c r="L40" s="95"/>
      <c r="M40" s="95"/>
      <c r="N40" s="95"/>
      <c r="O40" s="95"/>
      <c r="P40" s="95"/>
      <c r="Q40" s="98"/>
      <c r="R40" s="95"/>
      <c r="S40" s="95"/>
      <c r="T40" s="99"/>
    </row>
    <row r="41" spans="3:20" s="89" customFormat="1" ht="24" x14ac:dyDescent="0.35">
      <c r="C41" s="132"/>
      <c r="D41" s="107" t="s">
        <v>80</v>
      </c>
      <c r="E41" s="95"/>
      <c r="F41" s="109">
        <v>1517004080</v>
      </c>
      <c r="G41" s="95"/>
      <c r="H41" s="109">
        <v>1264241872</v>
      </c>
      <c r="I41" s="95"/>
      <c r="J41" s="95"/>
      <c r="K41" s="141" t="s">
        <v>81</v>
      </c>
      <c r="L41" s="107"/>
      <c r="M41" s="95"/>
      <c r="N41" s="109">
        <v>403974723</v>
      </c>
      <c r="O41" s="95"/>
      <c r="P41" s="109">
        <v>474112021</v>
      </c>
      <c r="Q41" s="98"/>
      <c r="R41" s="95"/>
      <c r="S41" s="95"/>
      <c r="T41" s="142"/>
    </row>
    <row r="42" spans="3:20" s="89" customFormat="1" ht="24" x14ac:dyDescent="0.35">
      <c r="C42" s="132"/>
      <c r="D42" s="110"/>
      <c r="E42" s="95"/>
      <c r="F42" s="95"/>
      <c r="G42" s="95"/>
      <c r="H42" s="95"/>
      <c r="I42" s="95"/>
      <c r="J42" s="95"/>
      <c r="K42" s="141" t="s">
        <v>82</v>
      </c>
      <c r="L42" s="124"/>
      <c r="M42" s="95"/>
      <c r="N42" s="109">
        <v>302148178</v>
      </c>
      <c r="O42" s="95"/>
      <c r="P42" s="109">
        <v>258856122</v>
      </c>
      <c r="Q42" s="98"/>
      <c r="R42" s="95"/>
      <c r="S42" s="95"/>
      <c r="T42" s="142">
        <v>2450318051</v>
      </c>
    </row>
    <row r="43" spans="3:20" s="89" customFormat="1" ht="24" x14ac:dyDescent="0.35">
      <c r="C43" s="132"/>
      <c r="D43" s="110"/>
      <c r="E43" s="97"/>
      <c r="F43" s="109"/>
      <c r="G43" s="95"/>
      <c r="H43" s="109"/>
      <c r="I43" s="95"/>
      <c r="J43" s="95"/>
      <c r="K43" s="107" t="s">
        <v>83</v>
      </c>
      <c r="L43" s="107"/>
      <c r="M43" s="95"/>
      <c r="N43" s="109">
        <v>20676869</v>
      </c>
      <c r="O43" s="95"/>
      <c r="P43" s="109">
        <v>17913826</v>
      </c>
      <c r="Q43" s="98"/>
      <c r="R43" s="95"/>
      <c r="S43" s="95"/>
      <c r="T43" s="142">
        <v>2449964575</v>
      </c>
    </row>
    <row r="44" spans="3:20" s="89" customFormat="1" ht="24" x14ac:dyDescent="0.35">
      <c r="C44" s="132"/>
      <c r="D44" s="107" t="s">
        <v>84</v>
      </c>
      <c r="E44" s="97"/>
      <c r="F44" s="109">
        <v>17412498</v>
      </c>
      <c r="G44" s="95"/>
      <c r="H44" s="109">
        <v>17603560</v>
      </c>
      <c r="I44" s="95"/>
      <c r="J44" s="95"/>
      <c r="K44" s="107" t="s">
        <v>85</v>
      </c>
      <c r="L44" s="107"/>
      <c r="M44" s="95"/>
      <c r="N44" s="109">
        <v>2045280580</v>
      </c>
      <c r="O44" s="95"/>
      <c r="P44" s="109">
        <v>2172834233</v>
      </c>
      <c r="Q44" s="98"/>
      <c r="R44" s="95"/>
      <c r="S44" s="95"/>
      <c r="T44" s="142"/>
    </row>
    <row r="45" spans="3:20" s="89" customFormat="1" ht="24" x14ac:dyDescent="0.35">
      <c r="C45" s="132"/>
      <c r="D45" s="110"/>
      <c r="E45" s="95"/>
      <c r="F45" s="109"/>
      <c r="G45" s="95"/>
      <c r="H45" s="109"/>
      <c r="I45" s="95"/>
      <c r="J45" s="95"/>
      <c r="K45" s="107" t="s">
        <v>86</v>
      </c>
      <c r="L45" s="107"/>
      <c r="M45" s="95"/>
      <c r="N45" s="109"/>
      <c r="O45" s="95"/>
      <c r="P45" s="109"/>
      <c r="Q45" s="98"/>
      <c r="R45" s="95"/>
      <c r="S45" s="95"/>
      <c r="T45" s="142"/>
    </row>
    <row r="46" spans="3:20" s="89" customFormat="1" ht="24" x14ac:dyDescent="0.35">
      <c r="C46" s="132"/>
      <c r="D46" s="110"/>
      <c r="E46" s="95"/>
      <c r="F46" s="109"/>
      <c r="G46" s="95"/>
      <c r="H46" s="109"/>
      <c r="I46" s="95"/>
      <c r="J46" s="95"/>
      <c r="K46" s="107" t="s">
        <v>87</v>
      </c>
      <c r="L46" s="107"/>
      <c r="M46" s="95"/>
      <c r="N46" s="109">
        <v>351960569</v>
      </c>
      <c r="O46" s="95"/>
      <c r="P46" s="109">
        <v>347864398</v>
      </c>
      <c r="Q46" s="98"/>
      <c r="R46" s="95"/>
      <c r="S46" s="95"/>
      <c r="T46" s="142"/>
    </row>
    <row r="47" spans="3:20" s="89" customFormat="1" ht="24" x14ac:dyDescent="0.35">
      <c r="C47" s="132"/>
      <c r="D47" s="107" t="s">
        <v>88</v>
      </c>
      <c r="E47" s="95"/>
      <c r="F47" s="109">
        <v>466213432</v>
      </c>
      <c r="G47" s="95"/>
      <c r="H47" s="109">
        <v>460424900</v>
      </c>
      <c r="I47" s="95"/>
      <c r="J47" s="95"/>
      <c r="K47" s="107" t="s">
        <v>89</v>
      </c>
      <c r="L47" s="107"/>
      <c r="M47" s="95"/>
      <c r="N47" s="109">
        <v>5715978344</v>
      </c>
      <c r="O47" s="95"/>
      <c r="P47" s="109">
        <v>5005884123</v>
      </c>
      <c r="Q47" s="98"/>
      <c r="R47" s="95"/>
      <c r="S47" s="95"/>
      <c r="T47" s="142">
        <f>T42-T43</f>
        <v>353476</v>
      </c>
    </row>
    <row r="48" spans="3:20" s="89" customFormat="1" ht="24" x14ac:dyDescent="0.35">
      <c r="C48" s="132"/>
      <c r="D48" s="110"/>
      <c r="E48" s="97"/>
      <c r="F48" s="109"/>
      <c r="G48" s="97"/>
      <c r="H48" s="109"/>
      <c r="I48" s="95"/>
      <c r="J48" s="95"/>
      <c r="K48" s="107" t="s">
        <v>90</v>
      </c>
      <c r="L48" s="107"/>
      <c r="M48" s="95"/>
      <c r="N48" s="109">
        <v>381982720</v>
      </c>
      <c r="O48" s="95"/>
      <c r="P48" s="109">
        <v>369909928</v>
      </c>
      <c r="Q48" s="98"/>
      <c r="R48" s="95"/>
      <c r="S48" s="95"/>
      <c r="T48" s="143"/>
    </row>
    <row r="49" spans="3:20" s="89" customFormat="1" ht="24" x14ac:dyDescent="0.35">
      <c r="C49" s="132"/>
      <c r="D49" s="110"/>
      <c r="E49" s="97"/>
      <c r="F49" s="109"/>
      <c r="G49" s="97"/>
      <c r="H49" s="109"/>
      <c r="I49" s="95"/>
      <c r="J49" s="95"/>
      <c r="K49" s="107" t="s">
        <v>91</v>
      </c>
      <c r="L49" s="117"/>
      <c r="M49" s="95"/>
      <c r="N49" s="109">
        <v>899600762</v>
      </c>
      <c r="O49" s="95"/>
      <c r="P49" s="109">
        <v>887620795</v>
      </c>
      <c r="Q49" s="98"/>
      <c r="R49" s="95"/>
      <c r="S49" s="109"/>
      <c r="T49" s="144"/>
    </row>
    <row r="50" spans="3:20" s="89" customFormat="1" ht="24" x14ac:dyDescent="0.35">
      <c r="C50" s="132"/>
      <c r="D50" s="107" t="s">
        <v>92</v>
      </c>
      <c r="E50" s="97"/>
      <c r="F50" s="109">
        <v>148297677</v>
      </c>
      <c r="G50" s="97"/>
      <c r="H50" s="109">
        <v>156337646</v>
      </c>
      <c r="I50" s="95"/>
      <c r="J50" s="95"/>
      <c r="K50" s="107" t="s">
        <v>93</v>
      </c>
      <c r="L50" s="107"/>
      <c r="M50" s="95"/>
      <c r="N50" s="121">
        <v>14104038</v>
      </c>
      <c r="O50" s="95"/>
      <c r="P50" s="121">
        <v>13753722</v>
      </c>
      <c r="Q50" s="98"/>
      <c r="R50" s="95"/>
      <c r="S50" s="109"/>
      <c r="T50" s="143"/>
    </row>
    <row r="51" spans="3:20" s="89" customFormat="1" ht="6" customHeight="1" x14ac:dyDescent="0.35">
      <c r="C51" s="94"/>
      <c r="D51" s="95"/>
      <c r="E51" s="95"/>
      <c r="F51" s="95"/>
      <c r="G51" s="95"/>
      <c r="H51" s="95"/>
      <c r="I51" s="95"/>
      <c r="J51" s="95"/>
      <c r="K51" s="107"/>
      <c r="L51" s="95"/>
      <c r="M51" s="95"/>
      <c r="N51" s="95"/>
      <c r="O51" s="95"/>
      <c r="P51" s="109"/>
      <c r="Q51" s="98"/>
      <c r="R51" s="95"/>
      <c r="S51" s="95"/>
      <c r="T51" s="99"/>
    </row>
    <row r="52" spans="3:20" s="89" customFormat="1" ht="24" x14ac:dyDescent="0.35">
      <c r="C52" s="94"/>
      <c r="D52" s="107"/>
      <c r="E52" s="97"/>
      <c r="F52" s="109"/>
      <c r="G52" s="97"/>
      <c r="H52" s="109"/>
      <c r="I52" s="95"/>
      <c r="J52" s="95"/>
      <c r="K52" s="107"/>
      <c r="L52" s="145" t="s">
        <v>94</v>
      </c>
      <c r="M52" s="95"/>
      <c r="N52" s="109">
        <f>SUM(N41:N50)</f>
        <v>10135706783</v>
      </c>
      <c r="O52" s="95"/>
      <c r="P52" s="109">
        <f>SUM(P41:P50)</f>
        <v>9548749168</v>
      </c>
      <c r="Q52" s="98"/>
      <c r="R52" s="95"/>
      <c r="S52" s="95"/>
      <c r="T52" s="99"/>
    </row>
    <row r="53" spans="3:20" s="89" customFormat="1" ht="7.5" customHeight="1" x14ac:dyDescent="0.2">
      <c r="C53" s="94"/>
      <c r="D53" s="95"/>
      <c r="E53" s="95"/>
      <c r="F53" s="146"/>
      <c r="G53" s="95"/>
      <c r="H53" s="146"/>
      <c r="I53" s="95"/>
      <c r="J53" s="95"/>
      <c r="K53" s="95"/>
      <c r="L53" s="95"/>
      <c r="M53" s="95"/>
      <c r="N53" s="146"/>
      <c r="O53" s="95"/>
      <c r="P53" s="146"/>
      <c r="Q53" s="98"/>
      <c r="R53" s="95"/>
      <c r="S53" s="95"/>
      <c r="T53" s="99"/>
    </row>
    <row r="54" spans="3:20" s="89" customFormat="1" ht="28.5" thickBot="1" x14ac:dyDescent="0.45">
      <c r="C54" s="147" t="s">
        <v>95</v>
      </c>
      <c r="D54" s="95"/>
      <c r="E54" s="148" t="s">
        <v>25</v>
      </c>
      <c r="F54" s="149">
        <f>SUM(F25:F52)</f>
        <v>14423686102</v>
      </c>
      <c r="G54" s="148" t="s">
        <v>25</v>
      </c>
      <c r="H54" s="149">
        <f>SUM(H25:H52)</f>
        <v>13250687567</v>
      </c>
      <c r="I54" s="95"/>
      <c r="J54" s="95"/>
      <c r="K54" s="150" t="s">
        <v>96</v>
      </c>
      <c r="L54" s="150"/>
      <c r="M54" s="148" t="s">
        <v>25</v>
      </c>
      <c r="N54" s="149">
        <f>+N52+N35+N37</f>
        <v>14423686102</v>
      </c>
      <c r="O54" s="148" t="s">
        <v>25</v>
      </c>
      <c r="P54" s="149">
        <f>+P52+P35+P37</f>
        <v>13250687567</v>
      </c>
      <c r="Q54" s="98"/>
      <c r="R54" s="95"/>
      <c r="S54" s="95"/>
      <c r="T54" s="151">
        <f>F54-N54</f>
        <v>0</v>
      </c>
    </row>
    <row r="55" spans="3:20" s="89" customFormat="1" ht="9.75" customHeight="1" thickTop="1" x14ac:dyDescent="0.25">
      <c r="C55" s="152"/>
      <c r="D55" s="153"/>
      <c r="E55" s="153"/>
      <c r="F55" s="153"/>
      <c r="G55" s="153"/>
      <c r="H55" s="153"/>
      <c r="I55" s="154"/>
      <c r="J55" s="154"/>
      <c r="K55" s="154"/>
      <c r="L55" s="154"/>
      <c r="M55" s="154"/>
      <c r="N55" s="153"/>
      <c r="O55" s="153"/>
      <c r="P55" s="153"/>
      <c r="Q55" s="155"/>
      <c r="T55" s="99"/>
    </row>
    <row r="56" spans="3:20" s="89" customFormat="1" ht="18" x14ac:dyDescent="0.25">
      <c r="C56" s="156"/>
      <c r="D56" s="156"/>
      <c r="E56" s="156"/>
      <c r="F56" s="156"/>
      <c r="G56" s="156"/>
      <c r="H56" s="156"/>
      <c r="K56" s="156"/>
      <c r="N56" s="156"/>
      <c r="O56" s="156"/>
      <c r="P56" s="156"/>
      <c r="T56" s="99"/>
    </row>
    <row r="57" spans="3:20" s="89" customFormat="1" ht="23.25" x14ac:dyDescent="0.35">
      <c r="C57" s="157" t="s">
        <v>97</v>
      </c>
      <c r="D57" s="158"/>
      <c r="E57" s="158"/>
      <c r="F57" s="158"/>
      <c r="G57" s="158"/>
      <c r="H57" s="158"/>
      <c r="I57" s="159"/>
      <c r="J57" s="159"/>
      <c r="K57" s="159"/>
      <c r="L57" s="158"/>
      <c r="M57" s="158"/>
      <c r="N57" s="158"/>
      <c r="O57" s="158"/>
      <c r="P57" s="158"/>
      <c r="Q57" s="158"/>
      <c r="R57" s="158"/>
      <c r="T57" s="99"/>
    </row>
    <row r="58" spans="3:20" s="89" customFormat="1" ht="23.25" x14ac:dyDescent="0.35">
      <c r="C58" s="157"/>
      <c r="D58" s="157"/>
      <c r="E58" s="157"/>
      <c r="F58" s="157"/>
      <c r="G58" s="157"/>
      <c r="H58" s="157"/>
      <c r="I58" s="157"/>
      <c r="J58" s="157"/>
      <c r="K58" s="157"/>
      <c r="L58" s="160" t="s">
        <v>8</v>
      </c>
      <c r="M58" s="157"/>
      <c r="N58" s="157"/>
      <c r="O58" s="157"/>
      <c r="P58" s="157"/>
      <c r="Q58" s="157"/>
      <c r="R58" s="161"/>
      <c r="T58" s="99"/>
    </row>
    <row r="59" spans="3:20" s="80" customFormat="1" x14ac:dyDescent="0.25"/>
    <row r="60" spans="3:20" x14ac:dyDescent="0.25">
      <c r="H60" s="162"/>
      <c r="T60" s="79"/>
    </row>
    <row r="61" spans="3:20" ht="20.25" x14ac:dyDescent="0.3">
      <c r="F61" s="163">
        <f>F54-N54</f>
        <v>0</v>
      </c>
      <c r="L61" s="164"/>
      <c r="N61" s="162"/>
      <c r="O61" s="162"/>
      <c r="P61" s="162">
        <f>+H54-P54</f>
        <v>0</v>
      </c>
      <c r="T61" s="79"/>
    </row>
    <row r="62" spans="3:20" x14ac:dyDescent="0.25">
      <c r="T62" s="79"/>
    </row>
    <row r="63" spans="3:20" ht="24" x14ac:dyDescent="0.35">
      <c r="F63" s="165"/>
      <c r="L63" s="166"/>
      <c r="M63" s="89"/>
      <c r="N63" s="165"/>
      <c r="T63" s="79"/>
    </row>
    <row r="64" spans="3:20" ht="24" x14ac:dyDescent="0.35">
      <c r="F64" s="167"/>
      <c r="H64" s="162"/>
      <c r="L64" s="166"/>
      <c r="M64" s="89"/>
      <c r="N64" s="165"/>
      <c r="T64" s="79"/>
    </row>
    <row r="65" spans="4:20" ht="23.25" x14ac:dyDescent="0.35">
      <c r="F65" s="167"/>
      <c r="H65" s="167"/>
      <c r="L65" s="163"/>
      <c r="T65" s="79"/>
    </row>
    <row r="66" spans="4:20" ht="23.25" x14ac:dyDescent="0.35">
      <c r="F66" s="167"/>
      <c r="H66" s="167"/>
      <c r="I66" s="168"/>
      <c r="J66" s="168"/>
      <c r="K66" s="168"/>
      <c r="L66" s="163"/>
      <c r="P66" s="169"/>
      <c r="T66" s="79"/>
    </row>
    <row r="67" spans="4:20" ht="23.25" x14ac:dyDescent="0.35">
      <c r="D67" s="165"/>
      <c r="F67" s="167"/>
      <c r="H67" s="167"/>
      <c r="I67" s="168"/>
      <c r="J67" s="168"/>
      <c r="K67" s="168"/>
      <c r="L67" s="167"/>
      <c r="P67" s="169"/>
    </row>
    <row r="68" spans="4:20" ht="23.25" x14ac:dyDescent="0.35">
      <c r="D68" s="165"/>
      <c r="F68" s="167"/>
      <c r="H68" s="167"/>
      <c r="I68" s="168"/>
      <c r="J68" s="168"/>
      <c r="K68" s="168"/>
      <c r="L68" s="167"/>
      <c r="N68" s="165"/>
      <c r="P68" s="169"/>
    </row>
    <row r="69" spans="4:20" ht="23.25" x14ac:dyDescent="0.35">
      <c r="D69" s="165"/>
      <c r="F69" s="167"/>
      <c r="H69" s="167"/>
      <c r="I69" s="168"/>
      <c r="J69" s="168"/>
      <c r="K69" s="168"/>
      <c r="L69" s="167"/>
      <c r="N69" s="165"/>
      <c r="P69" s="169"/>
    </row>
    <row r="70" spans="4:20" ht="23.25" x14ac:dyDescent="0.35">
      <c r="F70" s="167"/>
      <c r="H70" s="167"/>
      <c r="L70" s="167"/>
      <c r="N70" s="165"/>
      <c r="P70" s="169"/>
    </row>
    <row r="71" spans="4:20" ht="23.25" x14ac:dyDescent="0.35">
      <c r="F71" s="167"/>
      <c r="G71" s="167"/>
      <c r="H71" s="167"/>
      <c r="L71" s="167"/>
      <c r="N71" s="162"/>
      <c r="P71" s="170"/>
    </row>
    <row r="72" spans="4:20" ht="23.25" x14ac:dyDescent="0.35">
      <c r="F72" s="167"/>
      <c r="G72" s="167"/>
      <c r="H72" s="167"/>
      <c r="I72" s="167"/>
      <c r="J72" s="167"/>
      <c r="K72" s="167"/>
      <c r="L72" s="167"/>
      <c r="P72" s="170"/>
    </row>
    <row r="73" spans="4:20" ht="23.25" x14ac:dyDescent="0.35">
      <c r="D73" s="165"/>
      <c r="I73" s="167"/>
      <c r="J73" s="167"/>
      <c r="K73" s="167"/>
      <c r="P73" s="170"/>
    </row>
    <row r="74" spans="4:20" ht="23.25" x14ac:dyDescent="0.35">
      <c r="D74" s="165"/>
      <c r="P74" s="170"/>
    </row>
    <row r="75" spans="4:20" ht="23.25" x14ac:dyDescent="0.35">
      <c r="D75" s="162"/>
      <c r="P75" s="170"/>
    </row>
    <row r="76" spans="4:20" ht="23.25" x14ac:dyDescent="0.35">
      <c r="P76" s="170"/>
    </row>
    <row r="77" spans="4:20" ht="23.25" x14ac:dyDescent="0.35">
      <c r="P77" s="170"/>
    </row>
    <row r="78" spans="4:20" ht="23.25" x14ac:dyDescent="0.35">
      <c r="P78" s="170"/>
    </row>
    <row r="83" spans="9:14" ht="23.25" x14ac:dyDescent="0.35">
      <c r="N83" s="121"/>
    </row>
    <row r="89" spans="9:14" x14ac:dyDescent="0.25">
      <c r="I89" s="168">
        <f>+I59+I62+I63+I67+I66+I68+I69+I73+I72-I76-I77-I83-I79-I80-I84-I82+I65</f>
        <v>0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049" r:id="rId3">
          <objectPr defaultSize="0" autoPict="0" r:id="rId4">
            <anchor moveWithCells="1" sizeWithCells="1">
              <from>
                <xdr:col>15</xdr:col>
                <xdr:colOff>1247775</xdr:colOff>
                <xdr:row>55</xdr:row>
                <xdr:rowOff>123825</xdr:rowOff>
              </from>
              <to>
                <xdr:col>16</xdr:col>
                <xdr:colOff>219075</xdr:colOff>
                <xdr:row>57</xdr:row>
                <xdr:rowOff>114300</xdr:rowOff>
              </to>
            </anchor>
          </objectPr>
        </oleObject>
      </mc:Choice>
      <mc:Fallback>
        <oleObject progId="MSDraw" shapeId="2049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D0AF-7867-427C-AC71-C788E44939FE}">
  <dimension ref="B1:U167"/>
  <sheetViews>
    <sheetView topLeftCell="A10" zoomScale="60" zoomScaleNormal="60" workbookViewId="0">
      <selection activeCell="J43" sqref="J43"/>
    </sheetView>
  </sheetViews>
  <sheetFormatPr baseColWidth="10" defaultColWidth="12" defaultRowHeight="15.75" x14ac:dyDescent="0.25"/>
  <cols>
    <col min="1" max="1" width="2.85546875" style="171" customWidth="1"/>
    <col min="2" max="2" width="2.7109375" style="171" customWidth="1"/>
    <col min="3" max="3" width="1.7109375" style="171" customWidth="1"/>
    <col min="4" max="4" width="3.140625" style="171" customWidth="1"/>
    <col min="5" max="5" width="4.7109375" style="171" customWidth="1"/>
    <col min="6" max="6" width="55.28515625" style="171" customWidth="1"/>
    <col min="7" max="7" width="3" style="171" customWidth="1"/>
    <col min="8" max="8" width="23.5703125" style="171" customWidth="1"/>
    <col min="9" max="9" width="4.28515625" style="171" customWidth="1"/>
    <col min="10" max="10" width="22.7109375" style="171" bestFit="1" customWidth="1"/>
    <col min="11" max="11" width="4.28515625" style="171" customWidth="1"/>
    <col min="12" max="12" width="23.28515625" style="171" customWidth="1"/>
    <col min="13" max="13" width="4.28515625" style="171" customWidth="1"/>
    <col min="14" max="14" width="23.28515625" style="171" customWidth="1"/>
    <col min="15" max="15" width="4.28515625" style="171" customWidth="1"/>
    <col min="16" max="16" width="24.7109375" style="171" customWidth="1"/>
    <col min="17" max="17" width="4.42578125" style="171" customWidth="1"/>
    <col min="18" max="18" width="24.85546875" style="171" customWidth="1"/>
    <col min="19" max="19" width="1.28515625" style="171" customWidth="1"/>
    <col min="20" max="20" width="12" style="171"/>
    <col min="21" max="21" width="16.7109375" style="171" customWidth="1"/>
    <col min="22" max="22" width="17" style="171" customWidth="1"/>
    <col min="23" max="23" width="15.28515625" style="171" customWidth="1"/>
    <col min="24" max="24" width="17.140625" style="171" customWidth="1"/>
    <col min="25" max="16384" width="12" style="171"/>
  </cols>
  <sheetData>
    <row r="1" spans="2:21" ht="10.5" customHeight="1" x14ac:dyDescent="0.25"/>
    <row r="2" spans="2:21" ht="2.25" customHeight="1" x14ac:dyDescent="0.25"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</row>
    <row r="3" spans="2:21" ht="6.75" customHeight="1" x14ac:dyDescent="0.25"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</row>
    <row r="4" spans="2:21" ht="6.75" customHeight="1" x14ac:dyDescent="0.25"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2:21" s="174" customFormat="1" ht="33" customHeight="1" x14ac:dyDescent="0.3">
      <c r="B5" s="173" t="s">
        <v>0</v>
      </c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1"/>
      <c r="U5" s="175"/>
    </row>
    <row r="6" spans="2:21" s="174" customFormat="1" ht="33" customHeight="1" x14ac:dyDescent="0.3">
      <c r="B6" s="176" t="s">
        <v>98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1"/>
      <c r="U6" s="175"/>
    </row>
    <row r="7" spans="2:21" s="174" customFormat="1" ht="33" customHeight="1" x14ac:dyDescent="0.25">
      <c r="B7" s="177" t="s">
        <v>99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1"/>
    </row>
    <row r="8" spans="2:21" s="174" customFormat="1" ht="33" customHeight="1" x14ac:dyDescent="0.25">
      <c r="B8" s="177" t="s">
        <v>3</v>
      </c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1"/>
    </row>
    <row r="9" spans="2:21" ht="18.75" x14ac:dyDescent="0.25">
      <c r="B9" s="172"/>
      <c r="C9" s="172"/>
      <c r="D9" s="172"/>
      <c r="E9" s="172"/>
      <c r="F9" s="172"/>
      <c r="G9" s="172"/>
      <c r="H9" s="178"/>
      <c r="I9" s="179"/>
      <c r="J9" s="179"/>
      <c r="K9" s="179"/>
      <c r="L9" s="179"/>
      <c r="M9" s="179"/>
      <c r="N9" s="179" t="s">
        <v>100</v>
      </c>
      <c r="O9" s="179"/>
      <c r="P9" s="179" t="s">
        <v>101</v>
      </c>
      <c r="Q9" s="179"/>
      <c r="R9" s="179" t="s">
        <v>102</v>
      </c>
    </row>
    <row r="10" spans="2:21" ht="18.75" x14ac:dyDescent="0.25">
      <c r="B10" s="180"/>
      <c r="C10" s="172"/>
      <c r="D10" s="172"/>
      <c r="E10" s="172"/>
      <c r="F10" s="172"/>
      <c r="G10" s="172"/>
      <c r="H10" s="178" t="s">
        <v>103</v>
      </c>
      <c r="I10" s="179"/>
      <c r="J10" s="179" t="s">
        <v>104</v>
      </c>
      <c r="K10" s="179"/>
      <c r="L10" s="181" t="s">
        <v>105</v>
      </c>
      <c r="M10" s="182"/>
      <c r="N10" s="179" t="s">
        <v>106</v>
      </c>
      <c r="O10" s="179"/>
      <c r="P10" s="179" t="s">
        <v>107</v>
      </c>
      <c r="Q10" s="179"/>
      <c r="R10" s="179" t="s">
        <v>108</v>
      </c>
    </row>
    <row r="11" spans="2:21" ht="3" customHeight="1" thickBot="1" x14ac:dyDescent="0.3">
      <c r="B11" s="183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</row>
    <row r="12" spans="2:21" ht="3" customHeight="1" x14ac:dyDescent="0.25"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</row>
    <row r="13" spans="2:21" ht="21" customHeight="1" x14ac:dyDescent="0.25">
      <c r="B13" s="185" t="s">
        <v>109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</row>
    <row r="14" spans="2:21" ht="21.75" customHeight="1" x14ac:dyDescent="0.25">
      <c r="B14" s="186"/>
      <c r="C14" s="187" t="s">
        <v>110</v>
      </c>
      <c r="D14" s="186"/>
      <c r="E14" s="186"/>
      <c r="F14" s="186"/>
      <c r="G14" s="188"/>
      <c r="H14" s="189"/>
      <c r="I14" s="189"/>
      <c r="J14" s="189"/>
      <c r="K14" s="188"/>
      <c r="L14" s="189"/>
      <c r="M14" s="189"/>
      <c r="N14" s="189"/>
      <c r="O14" s="189"/>
      <c r="P14" s="189"/>
      <c r="Q14" s="189"/>
      <c r="R14" s="189"/>
    </row>
    <row r="15" spans="2:21" ht="18.75" x14ac:dyDescent="0.25">
      <c r="B15" s="186"/>
      <c r="C15" s="190"/>
      <c r="D15" s="190" t="s">
        <v>111</v>
      </c>
      <c r="E15" s="186"/>
      <c r="F15" s="186"/>
      <c r="G15" s="191" t="s">
        <v>25</v>
      </c>
      <c r="H15" s="189">
        <f>+L15+N15+P15+R15</f>
        <v>3639051470</v>
      </c>
      <c r="I15" s="192" t="s">
        <v>25</v>
      </c>
      <c r="J15" s="193"/>
      <c r="K15" s="191" t="s">
        <v>25</v>
      </c>
      <c r="L15" s="193">
        <v>546083566</v>
      </c>
      <c r="M15" s="192" t="s">
        <v>25</v>
      </c>
      <c r="N15" s="193">
        <v>1083043569</v>
      </c>
      <c r="O15" s="192" t="s">
        <v>25</v>
      </c>
      <c r="P15" s="193">
        <v>1920735167</v>
      </c>
      <c r="Q15" s="192" t="s">
        <v>25</v>
      </c>
      <c r="R15" s="193">
        <v>89189168</v>
      </c>
    </row>
    <row r="16" spans="2:21" ht="18.75" x14ac:dyDescent="0.25">
      <c r="B16" s="186"/>
      <c r="C16" s="190"/>
      <c r="D16" s="190" t="s">
        <v>112</v>
      </c>
      <c r="E16" s="186"/>
      <c r="F16" s="186"/>
      <c r="G16" s="188"/>
      <c r="H16" s="189">
        <f>+L16+N16+P16+R16</f>
        <v>624025000</v>
      </c>
      <c r="I16" s="189"/>
      <c r="J16" s="193"/>
      <c r="K16" s="188"/>
      <c r="L16" s="193"/>
      <c r="M16" s="189"/>
      <c r="N16" s="193"/>
      <c r="O16" s="189"/>
      <c r="P16" s="193">
        <v>624025000</v>
      </c>
      <c r="Q16" s="189"/>
      <c r="R16" s="193"/>
    </row>
    <row r="17" spans="2:18" ht="18.75" x14ac:dyDescent="0.25">
      <c r="B17" s="186"/>
      <c r="C17" s="190"/>
      <c r="D17" s="190" t="s">
        <v>113</v>
      </c>
      <c r="E17" s="186"/>
      <c r="F17" s="186"/>
      <c r="G17" s="188"/>
      <c r="H17" s="189">
        <f>+L17+N17+P17+R17</f>
        <v>1073825267</v>
      </c>
      <c r="I17" s="189"/>
      <c r="J17" s="193"/>
      <c r="K17" s="188"/>
      <c r="L17" s="193">
        <v>540937716</v>
      </c>
      <c r="M17" s="189"/>
      <c r="N17" s="193">
        <v>81653560</v>
      </c>
      <c r="O17" s="189"/>
      <c r="P17" s="193">
        <v>431515931</v>
      </c>
      <c r="Q17" s="189"/>
      <c r="R17" s="193">
        <v>19718060</v>
      </c>
    </row>
    <row r="18" spans="2:18" ht="18.75" x14ac:dyDescent="0.25">
      <c r="B18" s="186"/>
      <c r="C18" s="190"/>
      <c r="D18" s="190" t="s">
        <v>114</v>
      </c>
      <c r="E18" s="186"/>
      <c r="F18" s="186"/>
      <c r="G18" s="188"/>
      <c r="H18" s="189">
        <f>+L18+N18+P18+R18</f>
        <v>77397467</v>
      </c>
      <c r="I18" s="189"/>
      <c r="J18" s="193"/>
      <c r="K18" s="188"/>
      <c r="L18" s="193">
        <v>7533787</v>
      </c>
      <c r="M18" s="189"/>
      <c r="N18" s="193">
        <v>6577851</v>
      </c>
      <c r="O18" s="189"/>
      <c r="P18" s="193">
        <v>62133089</v>
      </c>
      <c r="Q18" s="189"/>
      <c r="R18" s="193">
        <v>1152740</v>
      </c>
    </row>
    <row r="19" spans="2:18" ht="18.75" x14ac:dyDescent="0.25">
      <c r="B19" s="186"/>
      <c r="C19" s="190"/>
      <c r="D19" s="190" t="s">
        <v>115</v>
      </c>
      <c r="E19" s="186"/>
      <c r="F19" s="186"/>
      <c r="G19" s="188"/>
      <c r="H19" s="189"/>
      <c r="I19" s="189"/>
      <c r="J19" s="193">
        <f>-(-L19-N19-P19-R19)</f>
        <v>64265157</v>
      </c>
      <c r="K19" s="188"/>
      <c r="L19" s="193">
        <v>56149444</v>
      </c>
      <c r="N19" s="193">
        <v>2806807</v>
      </c>
      <c r="P19" s="193">
        <v>5308906</v>
      </c>
      <c r="Q19" s="189"/>
      <c r="R19" s="193"/>
    </row>
    <row r="20" spans="2:18" ht="18.75" hidden="1" x14ac:dyDescent="0.25">
      <c r="B20" s="186"/>
      <c r="C20" s="190"/>
      <c r="D20" s="190" t="s">
        <v>116</v>
      </c>
      <c r="E20" s="186"/>
      <c r="F20" s="186"/>
      <c r="G20" s="188"/>
      <c r="H20" s="189"/>
      <c r="I20" s="189"/>
      <c r="J20" s="193">
        <f>-(-L20-N20-P20-R20)</f>
        <v>0</v>
      </c>
      <c r="K20" s="188"/>
      <c r="L20" s="193"/>
      <c r="M20" s="189"/>
      <c r="N20" s="193"/>
      <c r="O20" s="189"/>
      <c r="P20" s="193"/>
      <c r="Q20" s="189"/>
      <c r="R20" s="193"/>
    </row>
    <row r="21" spans="2:18" ht="18.75" x14ac:dyDescent="0.25">
      <c r="B21" s="186"/>
      <c r="C21" s="190"/>
      <c r="D21" s="190" t="s">
        <v>117</v>
      </c>
      <c r="E21" s="186"/>
      <c r="F21" s="186"/>
      <c r="G21" s="188"/>
      <c r="H21" s="189"/>
      <c r="I21" s="189"/>
      <c r="J21" s="194">
        <f>-(-L21-N21-P21-R21)</f>
        <v>2862313702</v>
      </c>
      <c r="K21" s="188"/>
      <c r="L21" s="193">
        <v>103796557</v>
      </c>
      <c r="M21" s="189"/>
      <c r="N21" s="193">
        <v>159292279</v>
      </c>
      <c r="O21" s="189"/>
      <c r="P21" s="193">
        <v>2005838700</v>
      </c>
      <c r="Q21" s="189"/>
      <c r="R21" s="193">
        <f>110570043+482816122+1</f>
        <v>593386166</v>
      </c>
    </row>
    <row r="22" spans="2:18" ht="18.75" x14ac:dyDescent="0.25">
      <c r="B22" s="186"/>
      <c r="C22" s="190"/>
      <c r="D22" s="190" t="s">
        <v>118</v>
      </c>
      <c r="E22" s="186"/>
      <c r="F22" s="186"/>
      <c r="G22" s="188"/>
      <c r="H22" s="189">
        <f>+L22+N22+P22+R22</f>
        <v>68583597</v>
      </c>
      <c r="I22" s="189"/>
      <c r="J22" s="193"/>
      <c r="K22" s="188"/>
      <c r="L22" s="193">
        <v>6774507</v>
      </c>
      <c r="M22" s="189"/>
      <c r="N22" s="193">
        <v>792990</v>
      </c>
      <c r="O22" s="189"/>
      <c r="P22" s="193"/>
      <c r="Q22" s="189"/>
      <c r="R22" s="193">
        <v>61016100</v>
      </c>
    </row>
    <row r="23" spans="2:18" ht="18.75" hidden="1" x14ac:dyDescent="0.25">
      <c r="B23" s="186"/>
      <c r="C23" s="190"/>
      <c r="D23" s="190" t="s">
        <v>119</v>
      </c>
      <c r="E23" s="186"/>
      <c r="F23" s="186"/>
      <c r="G23" s="188"/>
      <c r="H23" s="189">
        <f>+P23</f>
        <v>0</v>
      </c>
      <c r="I23" s="189"/>
      <c r="J23" s="193"/>
      <c r="K23" s="188"/>
      <c r="L23" s="193"/>
      <c r="M23" s="189"/>
      <c r="N23" s="193"/>
      <c r="O23" s="189"/>
      <c r="P23" s="193"/>
      <c r="Q23" s="189"/>
      <c r="R23" s="193"/>
    </row>
    <row r="24" spans="2:18" ht="18.75" hidden="1" x14ac:dyDescent="0.25">
      <c r="B24" s="186"/>
      <c r="C24" s="190"/>
      <c r="D24" s="190" t="s">
        <v>120</v>
      </c>
      <c r="E24" s="186"/>
      <c r="F24" s="186"/>
      <c r="G24" s="188"/>
      <c r="H24" s="189">
        <f>+P24</f>
        <v>0</v>
      </c>
      <c r="I24" s="189"/>
      <c r="J24" s="193"/>
      <c r="K24" s="188"/>
      <c r="L24" s="193"/>
      <c r="M24" s="189"/>
      <c r="N24" s="193"/>
      <c r="O24" s="189"/>
      <c r="P24" s="193"/>
      <c r="Q24" s="189"/>
      <c r="R24" s="193"/>
    </row>
    <row r="25" spans="2:18" ht="18.75" x14ac:dyDescent="0.25">
      <c r="B25" s="186"/>
      <c r="C25" s="186"/>
      <c r="D25" s="186"/>
      <c r="E25" s="195" t="s">
        <v>121</v>
      </c>
      <c r="F25" s="186"/>
      <c r="G25" s="188"/>
      <c r="H25" s="196">
        <f>SUM(H15:H24)</f>
        <v>5482882801</v>
      </c>
      <c r="I25" s="189"/>
      <c r="J25" s="197">
        <f>SUM(J19:J21)</f>
        <v>2926578859</v>
      </c>
      <c r="K25" s="188"/>
      <c r="L25" s="196">
        <f>SUM(L15:L23)</f>
        <v>1261275577</v>
      </c>
      <c r="M25" s="189"/>
      <c r="N25" s="196">
        <f>SUM(N15:N23)</f>
        <v>1334167056</v>
      </c>
      <c r="O25" s="189"/>
      <c r="P25" s="196">
        <f>SUM(P15:P24)</f>
        <v>5049556793</v>
      </c>
      <c r="Q25" s="189"/>
      <c r="R25" s="196">
        <f>SUM(R15:R23)</f>
        <v>764462234</v>
      </c>
    </row>
    <row r="26" spans="2:18" ht="3.75" customHeight="1" x14ac:dyDescent="0.25">
      <c r="B26" s="186"/>
      <c r="C26" s="186"/>
      <c r="D26" s="186"/>
      <c r="E26" s="186"/>
      <c r="F26" s="186"/>
      <c r="G26" s="188"/>
      <c r="H26" s="189"/>
      <c r="I26" s="189"/>
      <c r="J26" s="189"/>
      <c r="K26" s="188"/>
      <c r="L26" s="189"/>
      <c r="M26" s="189"/>
      <c r="N26" s="189"/>
      <c r="O26" s="189"/>
      <c r="P26" s="189"/>
      <c r="Q26" s="189"/>
      <c r="R26" s="189"/>
    </row>
    <row r="27" spans="2:18" ht="18.75" x14ac:dyDescent="0.25">
      <c r="B27" s="186"/>
      <c r="C27" s="190"/>
      <c r="D27" s="190" t="s">
        <v>122</v>
      </c>
      <c r="E27" s="186"/>
      <c r="F27" s="186"/>
      <c r="G27" s="188"/>
      <c r="H27" s="189">
        <f>+P27+R27+L27+N27</f>
        <v>3503082790</v>
      </c>
      <c r="I27" s="189"/>
      <c r="J27" s="189"/>
      <c r="K27" s="188"/>
      <c r="L27" s="193">
        <v>37090027</v>
      </c>
      <c r="M27" s="189"/>
      <c r="N27" s="193">
        <v>50000000</v>
      </c>
      <c r="O27" s="189"/>
      <c r="P27" s="193">
        <v>3387824463</v>
      </c>
      <c r="Q27" s="189"/>
      <c r="R27" s="193">
        <v>28168300</v>
      </c>
    </row>
    <row r="28" spans="2:18" ht="18.75" customHeight="1" x14ac:dyDescent="0.25">
      <c r="B28" s="186"/>
      <c r="C28" s="190"/>
      <c r="D28" s="190" t="s">
        <v>123</v>
      </c>
      <c r="E28" s="186"/>
      <c r="F28" s="186"/>
      <c r="G28" s="188"/>
      <c r="H28" s="189">
        <f>+L28+N28+P28+R28</f>
        <v>3157963063</v>
      </c>
      <c r="I28" s="189"/>
      <c r="J28" s="189"/>
      <c r="K28" s="188"/>
      <c r="L28" s="193">
        <v>109976041</v>
      </c>
      <c r="M28" s="189"/>
      <c r="N28" s="193">
        <v>183428690</v>
      </c>
      <c r="O28" s="189"/>
      <c r="P28" s="193">
        <v>2815532727</v>
      </c>
      <c r="Q28" s="189"/>
      <c r="R28" s="193">
        <v>49025605</v>
      </c>
    </row>
    <row r="29" spans="2:18" ht="18.75" x14ac:dyDescent="0.25">
      <c r="B29" s="186"/>
      <c r="C29" s="190"/>
      <c r="D29" s="190" t="s">
        <v>124</v>
      </c>
      <c r="E29" s="186"/>
      <c r="F29" s="186"/>
      <c r="G29" s="188"/>
      <c r="H29" s="189">
        <f>+L29+N29+P29+R29</f>
        <v>50090647</v>
      </c>
      <c r="I29" s="189"/>
      <c r="J29" s="189"/>
      <c r="K29" s="188"/>
      <c r="L29" s="198"/>
      <c r="M29" s="189"/>
      <c r="N29" s="193"/>
      <c r="O29" s="189"/>
      <c r="P29" s="193">
        <v>50090647</v>
      </c>
      <c r="Q29" s="189"/>
      <c r="R29" s="193"/>
    </row>
    <row r="30" spans="2:18" ht="19.899999999999999" customHeight="1" x14ac:dyDescent="0.25">
      <c r="B30" s="186"/>
      <c r="C30" s="190"/>
      <c r="D30" s="190" t="s">
        <v>125</v>
      </c>
      <c r="E30" s="186"/>
      <c r="F30" s="186"/>
      <c r="G30" s="188"/>
      <c r="H30" s="189">
        <f>+P30</f>
        <v>80739114</v>
      </c>
      <c r="I30" s="189"/>
      <c r="J30" s="189"/>
      <c r="K30" s="188"/>
      <c r="L30" s="193"/>
      <c r="M30" s="189"/>
      <c r="N30" s="193"/>
      <c r="O30" s="189"/>
      <c r="P30" s="193">
        <v>80739114</v>
      </c>
      <c r="Q30" s="189"/>
      <c r="R30" s="193"/>
    </row>
    <row r="31" spans="2:18" ht="18.75" x14ac:dyDescent="0.25">
      <c r="B31" s="186"/>
      <c r="C31" s="190"/>
      <c r="D31" s="190" t="s">
        <v>126</v>
      </c>
      <c r="E31" s="186"/>
      <c r="F31" s="186"/>
      <c r="G31" s="188"/>
      <c r="H31" s="189"/>
      <c r="I31" s="186"/>
      <c r="J31" s="186"/>
      <c r="K31" s="186"/>
      <c r="L31" s="193"/>
      <c r="M31" s="186"/>
      <c r="N31" s="193"/>
      <c r="O31" s="189"/>
      <c r="P31" s="193"/>
      <c r="Q31" s="189"/>
      <c r="R31" s="193"/>
    </row>
    <row r="32" spans="2:18" ht="18.75" x14ac:dyDescent="0.25">
      <c r="B32" s="186"/>
      <c r="C32" s="195"/>
      <c r="D32" s="195" t="s">
        <v>127</v>
      </c>
      <c r="E32" s="186"/>
      <c r="F32" s="186"/>
      <c r="G32" s="188"/>
      <c r="H32" s="189">
        <f>+L32+N32+P32+R32</f>
        <v>1517004080</v>
      </c>
      <c r="I32" s="189"/>
      <c r="J32" s="186"/>
      <c r="K32" s="186"/>
      <c r="L32" s="193">
        <v>73242396</v>
      </c>
      <c r="M32" s="186"/>
      <c r="N32" s="193">
        <v>1275760732</v>
      </c>
      <c r="O32" s="189"/>
      <c r="P32" s="193">
        <v>796820</v>
      </c>
      <c r="Q32" s="189"/>
      <c r="R32" s="193">
        <v>167204132</v>
      </c>
    </row>
    <row r="33" spans="2:21" ht="18.75" x14ac:dyDescent="0.25">
      <c r="B33" s="186"/>
      <c r="C33" s="195"/>
      <c r="D33" s="190" t="s">
        <v>128</v>
      </c>
      <c r="E33" s="186"/>
      <c r="F33" s="186"/>
      <c r="G33" s="188"/>
      <c r="H33" s="189">
        <f>+L33+N33+R33+P33</f>
        <v>17412498</v>
      </c>
      <c r="I33" s="189"/>
      <c r="J33" s="189"/>
      <c r="K33" s="188"/>
      <c r="L33" s="193"/>
      <c r="M33" s="186"/>
      <c r="N33" s="193"/>
      <c r="O33" s="189"/>
      <c r="P33" s="193">
        <v>17412498</v>
      </c>
      <c r="Q33" s="189"/>
      <c r="R33" s="193"/>
    </row>
    <row r="34" spans="2:21" ht="18.75" customHeight="1" x14ac:dyDescent="0.25">
      <c r="B34" s="186"/>
      <c r="C34" s="195"/>
      <c r="D34" s="190" t="s">
        <v>129</v>
      </c>
      <c r="E34" s="186"/>
      <c r="F34" s="186"/>
      <c r="G34" s="188"/>
      <c r="H34" s="189">
        <f>+L34+N34+R34+P34</f>
        <v>466213432</v>
      </c>
      <c r="I34" s="189"/>
      <c r="J34" s="189"/>
      <c r="K34" s="188"/>
      <c r="L34" s="193">
        <v>421281</v>
      </c>
      <c r="M34" s="189"/>
      <c r="N34" s="193">
        <v>620155</v>
      </c>
      <c r="O34" s="189"/>
      <c r="P34" s="193">
        <v>462992107</v>
      </c>
      <c r="Q34" s="189"/>
      <c r="R34" s="193">
        <v>2179889</v>
      </c>
    </row>
    <row r="35" spans="2:21" ht="19.5" customHeight="1" x14ac:dyDescent="0.25">
      <c r="B35" s="186"/>
      <c r="C35" s="195"/>
      <c r="D35" s="190" t="s">
        <v>130</v>
      </c>
      <c r="E35" s="186"/>
      <c r="F35" s="186"/>
      <c r="G35" s="188"/>
      <c r="H35" s="189">
        <f>+L35+N35+R35+P35</f>
        <v>148297677</v>
      </c>
      <c r="I35" s="189"/>
      <c r="J35" s="193"/>
      <c r="K35" s="188"/>
      <c r="L35" s="193">
        <v>28819611</v>
      </c>
      <c r="M35" s="189"/>
      <c r="N35" s="193">
        <v>53222967</v>
      </c>
      <c r="O35" s="189"/>
      <c r="P35" s="193">
        <v>57442804</v>
      </c>
      <c r="Q35" s="189"/>
      <c r="R35" s="193">
        <v>8812295</v>
      </c>
    </row>
    <row r="36" spans="2:21" ht="2.25" customHeight="1" x14ac:dyDescent="0.3">
      <c r="B36" s="186"/>
      <c r="C36" s="199"/>
      <c r="D36" s="186"/>
      <c r="E36" s="186"/>
      <c r="F36" s="186"/>
      <c r="G36" s="188"/>
      <c r="H36" s="189"/>
      <c r="I36" s="189"/>
      <c r="J36" s="189"/>
      <c r="K36" s="188"/>
      <c r="L36" s="189"/>
      <c r="M36" s="189"/>
      <c r="N36" s="189"/>
      <c r="O36" s="189"/>
      <c r="P36" s="189"/>
      <c r="Q36" s="189"/>
      <c r="R36" s="189"/>
    </row>
    <row r="37" spans="2:21" ht="21" customHeight="1" thickBot="1" x14ac:dyDescent="0.35">
      <c r="B37" s="199" t="s">
        <v>131</v>
      </c>
      <c r="C37" s="186"/>
      <c r="D37" s="186"/>
      <c r="E37" s="199"/>
      <c r="F37" s="186"/>
      <c r="G37" s="200" t="s">
        <v>132</v>
      </c>
      <c r="H37" s="201">
        <f>SUM(H25:H35)</f>
        <v>14423686102</v>
      </c>
      <c r="I37" s="200" t="s">
        <v>133</v>
      </c>
      <c r="J37" s="201">
        <f>SUM(J25:J35)</f>
        <v>2926578859</v>
      </c>
      <c r="K37" s="202" t="s">
        <v>133</v>
      </c>
      <c r="L37" s="201">
        <f>SUM(L25:L35)</f>
        <v>1510824933</v>
      </c>
      <c r="M37" s="200" t="s">
        <v>25</v>
      </c>
      <c r="N37" s="201">
        <f>SUM(N25:N35)</f>
        <v>2897199600</v>
      </c>
      <c r="O37" s="200" t="s">
        <v>132</v>
      </c>
      <c r="P37" s="201">
        <f>SUM(P25:P35)</f>
        <v>11922387973</v>
      </c>
      <c r="Q37" s="200" t="s">
        <v>25</v>
      </c>
      <c r="R37" s="201">
        <f>SUM(R25:R35)</f>
        <v>1019852455</v>
      </c>
    </row>
    <row r="38" spans="2:21" ht="3.75" customHeight="1" thickTop="1" x14ac:dyDescent="0.25">
      <c r="B38" s="186"/>
      <c r="C38" s="195"/>
      <c r="D38" s="186"/>
      <c r="E38" s="186"/>
      <c r="F38" s="186"/>
      <c r="G38" s="188"/>
      <c r="H38" s="189"/>
      <c r="I38" s="189"/>
      <c r="J38" s="189"/>
      <c r="K38" s="188"/>
      <c r="L38" s="189"/>
      <c r="M38" s="189"/>
      <c r="N38" s="189"/>
      <c r="O38" s="189"/>
      <c r="P38" s="189"/>
      <c r="Q38" s="189"/>
      <c r="R38" s="189"/>
    </row>
    <row r="39" spans="2:21" ht="3.75" customHeight="1" x14ac:dyDescent="0.3">
      <c r="B39" s="186"/>
      <c r="C39" s="203"/>
      <c r="D39" s="186"/>
      <c r="E39" s="186"/>
      <c r="F39" s="186"/>
      <c r="G39" s="188"/>
      <c r="H39" s="189"/>
      <c r="I39" s="189"/>
      <c r="J39" s="189"/>
      <c r="K39" s="188"/>
      <c r="L39" s="189"/>
      <c r="M39" s="189"/>
      <c r="N39" s="189"/>
      <c r="O39" s="189"/>
      <c r="P39" s="189"/>
      <c r="Q39" s="189"/>
      <c r="R39" s="189"/>
    </row>
    <row r="40" spans="2:21" ht="18" customHeight="1" x14ac:dyDescent="0.3">
      <c r="B40" s="199" t="s">
        <v>134</v>
      </c>
      <c r="C40" s="204"/>
      <c r="D40" s="204"/>
      <c r="E40" s="204"/>
      <c r="F40" s="204"/>
      <c r="G40" s="205"/>
      <c r="H40" s="189"/>
      <c r="I40" s="189"/>
      <c r="J40" s="189"/>
      <c r="K40" s="188"/>
      <c r="L40" s="189"/>
      <c r="M40" s="189"/>
      <c r="N40" s="189"/>
      <c r="O40" s="189"/>
      <c r="P40" s="189"/>
      <c r="Q40" s="189"/>
      <c r="R40" s="189"/>
    </row>
    <row r="41" spans="2:21" ht="3.75" customHeight="1" x14ac:dyDescent="0.25">
      <c r="B41" s="186"/>
      <c r="C41" s="186"/>
      <c r="D41" s="186"/>
      <c r="E41" s="186"/>
      <c r="F41" s="186"/>
      <c r="G41" s="188"/>
      <c r="H41" s="189"/>
      <c r="I41" s="189"/>
      <c r="J41" s="189"/>
      <c r="K41" s="188"/>
      <c r="L41" s="189"/>
      <c r="M41" s="189"/>
      <c r="N41" s="189"/>
      <c r="O41" s="189"/>
      <c r="P41" s="189"/>
      <c r="Q41" s="189"/>
      <c r="R41" s="189"/>
    </row>
    <row r="42" spans="2:21" ht="16.5" customHeight="1" x14ac:dyDescent="0.25">
      <c r="B42" s="186"/>
      <c r="C42" s="187" t="s">
        <v>135</v>
      </c>
      <c r="D42" s="186"/>
      <c r="E42" s="186"/>
      <c r="F42" s="186"/>
      <c r="G42" s="186"/>
      <c r="H42" s="189"/>
      <c r="I42" s="189"/>
      <c r="J42" s="189"/>
      <c r="K42" s="188"/>
      <c r="L42" s="189"/>
      <c r="M42" s="189"/>
      <c r="N42" s="193"/>
      <c r="O42" s="189"/>
      <c r="P42" s="189"/>
      <c r="Q42" s="189"/>
      <c r="R42" s="189"/>
    </row>
    <row r="43" spans="2:21" ht="18.75" customHeight="1" x14ac:dyDescent="0.25">
      <c r="B43" s="186"/>
      <c r="C43" s="195" t="s">
        <v>136</v>
      </c>
      <c r="D43" s="206"/>
      <c r="E43" s="186"/>
      <c r="F43" s="186"/>
      <c r="G43" s="186"/>
      <c r="H43" s="189"/>
      <c r="I43" s="186"/>
      <c r="J43" s="193"/>
      <c r="K43" s="186"/>
      <c r="L43" s="193"/>
      <c r="M43" s="186"/>
      <c r="N43" s="193"/>
      <c r="O43" s="186"/>
      <c r="P43" s="193"/>
      <c r="Q43" s="186"/>
      <c r="R43" s="193"/>
    </row>
    <row r="44" spans="2:21" ht="18.75" x14ac:dyDescent="0.25">
      <c r="B44" s="186"/>
      <c r="C44" s="195"/>
      <c r="D44" s="195" t="s">
        <v>137</v>
      </c>
      <c r="E44" s="186"/>
      <c r="F44" s="186"/>
      <c r="G44" s="191" t="s">
        <v>25</v>
      </c>
      <c r="H44" s="189">
        <f t="shared" ref="H44:H49" si="0">+L44+N44+P44+R44</f>
        <v>269202593</v>
      </c>
      <c r="I44" s="191" t="s">
        <v>25</v>
      </c>
      <c r="J44" s="193"/>
      <c r="K44" s="191" t="s">
        <v>25</v>
      </c>
      <c r="L44" s="193">
        <v>13438523</v>
      </c>
      <c r="M44" s="191" t="s">
        <v>25</v>
      </c>
      <c r="N44" s="193">
        <v>220256434</v>
      </c>
      <c r="O44" s="191" t="s">
        <v>25</v>
      </c>
      <c r="P44" s="193">
        <v>73735</v>
      </c>
      <c r="Q44" s="191" t="s">
        <v>25</v>
      </c>
      <c r="R44" s="193">
        <v>35433901</v>
      </c>
    </row>
    <row r="45" spans="2:21" ht="18.75" customHeight="1" x14ac:dyDescent="0.25">
      <c r="B45" s="186"/>
      <c r="C45" s="195"/>
      <c r="D45" s="195" t="s">
        <v>52</v>
      </c>
      <c r="E45" s="186"/>
      <c r="F45" s="186"/>
      <c r="G45" s="191"/>
      <c r="H45" s="189">
        <f t="shared" si="0"/>
        <v>15404963</v>
      </c>
      <c r="I45" s="191"/>
      <c r="J45" s="193"/>
      <c r="K45" s="191"/>
      <c r="L45" s="193">
        <v>15295981</v>
      </c>
      <c r="M45" s="191"/>
      <c r="N45" s="193">
        <v>97634</v>
      </c>
      <c r="O45" s="191"/>
      <c r="P45" s="193"/>
      <c r="Q45" s="191"/>
      <c r="R45" s="193">
        <v>11348</v>
      </c>
      <c r="U45" s="193"/>
    </row>
    <row r="46" spans="2:21" ht="18.75" x14ac:dyDescent="0.25">
      <c r="B46" s="186"/>
      <c r="C46" s="186"/>
      <c r="D46" s="405" t="s">
        <v>54</v>
      </c>
      <c r="E46" s="405"/>
      <c r="F46" s="405"/>
      <c r="G46" s="191"/>
      <c r="H46" s="189">
        <f t="shared" si="0"/>
        <v>49079627</v>
      </c>
      <c r="I46" s="191"/>
      <c r="J46" s="193"/>
      <c r="K46" s="191"/>
      <c r="L46" s="193">
        <v>11123239</v>
      </c>
      <c r="M46" s="191"/>
      <c r="N46" s="193">
        <v>31750128</v>
      </c>
      <c r="O46" s="191"/>
      <c r="P46" s="193"/>
      <c r="Q46" s="191"/>
      <c r="R46" s="193">
        <v>6206260</v>
      </c>
    </row>
    <row r="47" spans="2:21" ht="18.75" customHeight="1" x14ac:dyDescent="0.25">
      <c r="B47" s="186"/>
      <c r="C47" s="195"/>
      <c r="D47" s="195" t="s">
        <v>138</v>
      </c>
      <c r="E47" s="186"/>
      <c r="F47" s="186"/>
      <c r="G47" s="191"/>
      <c r="H47" s="189">
        <f t="shared" si="0"/>
        <v>41375170</v>
      </c>
      <c r="I47" s="191"/>
      <c r="J47" s="193"/>
      <c r="K47" s="191"/>
      <c r="L47" s="193">
        <v>41375170</v>
      </c>
      <c r="M47" s="191"/>
      <c r="N47" s="193"/>
      <c r="O47" s="191"/>
      <c r="P47" s="193"/>
      <c r="Q47" s="191"/>
      <c r="R47" s="193"/>
    </row>
    <row r="48" spans="2:21" ht="18.75" customHeight="1" x14ac:dyDescent="0.25">
      <c r="B48" s="186"/>
      <c r="C48" s="195"/>
      <c r="D48" s="195" t="s">
        <v>139</v>
      </c>
      <c r="E48" s="186"/>
      <c r="F48" s="186"/>
      <c r="G48" s="188"/>
      <c r="H48" s="189">
        <f t="shared" si="0"/>
        <v>552376010</v>
      </c>
      <c r="I48" s="189"/>
      <c r="J48" s="193"/>
      <c r="K48" s="188"/>
      <c r="L48" s="193">
        <f>78658528+6</f>
        <v>78658534</v>
      </c>
      <c r="M48" s="191"/>
      <c r="N48" s="193">
        <v>30508488</v>
      </c>
      <c r="O48" s="191"/>
      <c r="P48" s="193">
        <v>434289714</v>
      </c>
      <c r="Q48" s="191"/>
      <c r="R48" s="193">
        <v>8919274</v>
      </c>
    </row>
    <row r="49" spans="2:18" ht="18.75" customHeight="1" x14ac:dyDescent="0.25">
      <c r="B49" s="186"/>
      <c r="C49" s="195"/>
      <c r="D49" s="195" t="s">
        <v>140</v>
      </c>
      <c r="E49" s="186"/>
      <c r="F49" s="186"/>
      <c r="G49" s="188"/>
      <c r="H49" s="189">
        <f t="shared" si="0"/>
        <v>151374874</v>
      </c>
      <c r="I49" s="189"/>
      <c r="J49" s="194"/>
      <c r="K49" s="188"/>
      <c r="L49" s="193">
        <v>111178494</v>
      </c>
      <c r="M49" s="193"/>
      <c r="N49" s="193"/>
      <c r="O49" s="193"/>
      <c r="P49" s="193">
        <v>40193525</v>
      </c>
      <c r="Q49" s="193"/>
      <c r="R49" s="193">
        <v>2855</v>
      </c>
    </row>
    <row r="50" spans="2:18" ht="18.75" customHeight="1" x14ac:dyDescent="0.25">
      <c r="B50" s="186"/>
      <c r="C50" s="195"/>
      <c r="D50" s="195" t="s">
        <v>141</v>
      </c>
      <c r="E50" s="186"/>
      <c r="F50" s="186"/>
      <c r="G50" s="188"/>
      <c r="H50" s="189"/>
      <c r="I50" s="189"/>
      <c r="J50" s="193">
        <f>-(-L50-N50-P50-R50)</f>
        <v>66131961</v>
      </c>
      <c r="K50" s="188"/>
      <c r="L50" s="193">
        <v>1751290</v>
      </c>
      <c r="N50" s="193">
        <v>5999847</v>
      </c>
      <c r="P50" s="193">
        <v>2806807</v>
      </c>
      <c r="Q50" s="193"/>
      <c r="R50" s="193">
        <v>55574017</v>
      </c>
    </row>
    <row r="51" spans="2:18" ht="18.75" hidden="1" customHeight="1" x14ac:dyDescent="0.25">
      <c r="B51" s="186"/>
      <c r="C51" s="195"/>
      <c r="D51" s="195" t="s">
        <v>142</v>
      </c>
      <c r="E51" s="186"/>
      <c r="F51" s="186"/>
      <c r="G51" s="188"/>
      <c r="H51" s="189"/>
      <c r="I51" s="189"/>
      <c r="J51" s="193">
        <f>-(-L51-N51-P51-R51)</f>
        <v>0</v>
      </c>
      <c r="K51" s="188"/>
      <c r="L51" s="193"/>
      <c r="M51" s="189"/>
      <c r="N51" s="193"/>
      <c r="O51" s="189"/>
      <c r="P51" s="193"/>
      <c r="Q51" s="193"/>
      <c r="R51" s="193"/>
    </row>
    <row r="52" spans="2:18" ht="18.75" x14ac:dyDescent="0.25">
      <c r="B52" s="186"/>
      <c r="C52" s="195"/>
      <c r="D52" s="195" t="s">
        <v>143</v>
      </c>
      <c r="E52" s="186"/>
      <c r="F52" s="186"/>
      <c r="G52" s="188"/>
      <c r="H52" s="189"/>
      <c r="I52" s="189"/>
      <c r="J52" s="194">
        <f>-(-L52-N52-P52-R52)</f>
        <v>2860446898</v>
      </c>
      <c r="K52" s="188"/>
      <c r="L52" s="193">
        <v>489756299</v>
      </c>
      <c r="M52" s="189"/>
      <c r="N52" s="193">
        <v>563306489</v>
      </c>
      <c r="O52" s="189"/>
      <c r="P52" s="193">
        <v>1807384110</v>
      </c>
      <c r="Q52" s="193"/>
      <c r="R52" s="193"/>
    </row>
    <row r="53" spans="2:18" ht="3.75" customHeight="1" x14ac:dyDescent="0.25">
      <c r="B53" s="186"/>
      <c r="C53" s="186"/>
      <c r="D53" s="206"/>
      <c r="E53" s="186"/>
      <c r="F53" s="186"/>
      <c r="G53" s="188"/>
      <c r="H53" s="189"/>
      <c r="I53" s="189"/>
      <c r="J53" s="193"/>
      <c r="K53" s="188"/>
      <c r="L53" s="193"/>
      <c r="M53" s="189"/>
      <c r="N53" s="193"/>
      <c r="O53" s="189"/>
      <c r="P53" s="193"/>
      <c r="Q53" s="189"/>
      <c r="R53" s="193"/>
    </row>
    <row r="54" spans="2:18" ht="18.75" x14ac:dyDescent="0.25">
      <c r="B54" s="186"/>
      <c r="C54" s="186"/>
      <c r="D54" s="186"/>
      <c r="E54" s="195" t="s">
        <v>144</v>
      </c>
      <c r="F54" s="186"/>
      <c r="G54" s="188"/>
      <c r="H54" s="196">
        <f>SUM(H43:H53)</f>
        <v>1078813237</v>
      </c>
      <c r="I54" s="189"/>
      <c r="J54" s="197">
        <f>SUM(J50:J53)</f>
        <v>2926578859</v>
      </c>
      <c r="K54" s="188"/>
      <c r="L54" s="196">
        <f>SUM(L43:L53)</f>
        <v>762577530</v>
      </c>
      <c r="M54" s="189"/>
      <c r="N54" s="196">
        <f>SUM(N43:N53)</f>
        <v>851919020</v>
      </c>
      <c r="O54" s="189"/>
      <c r="P54" s="196">
        <f>SUM(P43:P53)</f>
        <v>2284747891</v>
      </c>
      <c r="Q54" s="189"/>
      <c r="R54" s="196">
        <f>SUM(R43:R53)</f>
        <v>106147655</v>
      </c>
    </row>
    <row r="55" spans="2:18" ht="4.5" customHeight="1" x14ac:dyDescent="0.25">
      <c r="B55" s="186"/>
      <c r="C55" s="187"/>
      <c r="D55" s="186"/>
      <c r="E55" s="186"/>
      <c r="F55" s="186"/>
      <c r="G55" s="188"/>
      <c r="H55" s="189"/>
      <c r="I55" s="189"/>
      <c r="J55" s="189"/>
      <c r="K55" s="188"/>
      <c r="L55" s="189"/>
      <c r="M55" s="189"/>
      <c r="N55" s="189"/>
      <c r="O55" s="189"/>
      <c r="P55" s="189"/>
      <c r="Q55" s="189"/>
      <c r="R55" s="189"/>
    </row>
    <row r="56" spans="2:18" ht="21" customHeight="1" x14ac:dyDescent="0.25">
      <c r="B56" s="186"/>
      <c r="C56" s="187" t="s">
        <v>145</v>
      </c>
      <c r="D56" s="186"/>
      <c r="E56" s="186"/>
      <c r="F56" s="186"/>
      <c r="G56" s="188"/>
      <c r="H56" s="189"/>
      <c r="I56" s="189"/>
      <c r="J56" s="189"/>
      <c r="K56" s="188"/>
      <c r="L56" s="189"/>
      <c r="M56" s="189"/>
      <c r="N56" s="189"/>
      <c r="O56" s="189"/>
      <c r="P56" s="189"/>
      <c r="Q56" s="189"/>
      <c r="R56" s="189"/>
    </row>
    <row r="57" spans="2:18" ht="21" customHeight="1" x14ac:dyDescent="0.25">
      <c r="B57" s="186"/>
      <c r="C57" s="195"/>
      <c r="D57" s="195" t="s">
        <v>146</v>
      </c>
      <c r="E57" s="186"/>
      <c r="F57" s="186"/>
      <c r="G57" s="188"/>
      <c r="H57" s="207">
        <f>+L57+N57+P57+R57</f>
        <v>3187718449</v>
      </c>
      <c r="I57" s="189"/>
      <c r="J57" s="189"/>
      <c r="K57" s="188"/>
      <c r="L57" s="207"/>
      <c r="M57" s="189"/>
      <c r="N57" s="189"/>
      <c r="O57" s="189"/>
      <c r="P57" s="193">
        <v>3187718449</v>
      </c>
      <c r="Q57" s="189"/>
      <c r="R57" s="189"/>
    </row>
    <row r="58" spans="2:18" ht="20.25" customHeight="1" x14ac:dyDescent="0.25">
      <c r="B58" s="187"/>
      <c r="C58" s="195"/>
      <c r="D58" s="195" t="s">
        <v>147</v>
      </c>
      <c r="E58" s="186"/>
      <c r="F58" s="186"/>
      <c r="G58" s="188"/>
      <c r="H58" s="207">
        <f>+L58+N58+P58+R58</f>
        <v>21447633</v>
      </c>
      <c r="I58" s="189"/>
      <c r="J58" s="207"/>
      <c r="K58" s="188"/>
      <c r="L58" s="207">
        <v>21447633</v>
      </c>
      <c r="M58" s="189"/>
      <c r="N58" s="207"/>
      <c r="O58" s="189"/>
      <c r="P58" s="207"/>
      <c r="Q58" s="189"/>
      <c r="R58" s="207"/>
    </row>
    <row r="59" spans="2:18" ht="3" customHeight="1" x14ac:dyDescent="0.25">
      <c r="B59" s="186"/>
      <c r="C59" s="186"/>
      <c r="D59" s="206"/>
      <c r="E59" s="186"/>
      <c r="F59" s="186"/>
      <c r="G59" s="188"/>
      <c r="H59" s="208"/>
      <c r="I59" s="189"/>
      <c r="J59" s="193"/>
      <c r="K59" s="188"/>
      <c r="L59" s="193"/>
      <c r="M59" s="189"/>
      <c r="N59" s="193"/>
      <c r="O59" s="189"/>
      <c r="P59" s="193"/>
      <c r="Q59" s="189"/>
      <c r="R59" s="193"/>
    </row>
    <row r="60" spans="2:18" ht="18.75" customHeight="1" x14ac:dyDescent="0.25">
      <c r="B60" s="187"/>
      <c r="C60" s="186"/>
      <c r="D60" s="186"/>
      <c r="E60" s="187" t="s">
        <v>148</v>
      </c>
      <c r="F60" s="186"/>
      <c r="G60" s="188"/>
      <c r="H60" s="189">
        <f>+H58+H57</f>
        <v>3209166082</v>
      </c>
      <c r="I60" s="189"/>
      <c r="J60" s="209"/>
      <c r="K60" s="188"/>
      <c r="L60" s="196">
        <f>+L58+L57</f>
        <v>21447633</v>
      </c>
      <c r="M60" s="189"/>
      <c r="N60" s="210">
        <f>+N58+N57</f>
        <v>0</v>
      </c>
      <c r="O60" s="189"/>
      <c r="P60" s="196">
        <f>+P58+P57</f>
        <v>3187718449</v>
      </c>
      <c r="Q60" s="189"/>
      <c r="R60" s="210">
        <f>+R58+R57</f>
        <v>0</v>
      </c>
    </row>
    <row r="61" spans="2:18" ht="3" customHeight="1" x14ac:dyDescent="0.25">
      <c r="B61" s="187"/>
      <c r="C61" s="186"/>
      <c r="D61" s="186"/>
      <c r="E61" s="186"/>
      <c r="F61" s="186"/>
      <c r="G61" s="188"/>
      <c r="H61" s="208"/>
      <c r="I61" s="189"/>
      <c r="J61" s="211"/>
      <c r="K61" s="188"/>
      <c r="L61" s="211"/>
      <c r="M61" s="189"/>
      <c r="N61" s="211"/>
      <c r="O61" s="189"/>
      <c r="P61" s="211"/>
      <c r="Q61" s="189"/>
      <c r="R61" s="211"/>
    </row>
    <row r="62" spans="2:18" ht="18.75" customHeight="1" x14ac:dyDescent="0.3">
      <c r="B62" s="187"/>
      <c r="C62" s="186"/>
      <c r="D62" s="206"/>
      <c r="E62" s="187" t="s">
        <v>149</v>
      </c>
      <c r="F62" s="186"/>
      <c r="G62" s="188"/>
      <c r="H62" s="212">
        <f>H54+H60</f>
        <v>4287979319</v>
      </c>
      <c r="I62" s="189"/>
      <c r="J62" s="212">
        <f>J54+J60</f>
        <v>2926578859</v>
      </c>
      <c r="K62" s="188"/>
      <c r="L62" s="212">
        <f>L54+L60</f>
        <v>784025163</v>
      </c>
      <c r="M62" s="189"/>
      <c r="N62" s="212">
        <f>N54+N60</f>
        <v>851919020</v>
      </c>
      <c r="O62" s="189"/>
      <c r="P62" s="212">
        <f>P54+P60</f>
        <v>5472466340</v>
      </c>
      <c r="Q62" s="189"/>
      <c r="R62" s="212">
        <f>R54+R60</f>
        <v>106147655</v>
      </c>
    </row>
    <row r="63" spans="2:18" ht="18.75" customHeight="1" x14ac:dyDescent="0.25">
      <c r="B63" s="185" t="s">
        <v>150</v>
      </c>
      <c r="C63" s="213"/>
      <c r="D63" s="186"/>
      <c r="E63" s="186"/>
      <c r="F63" s="186"/>
      <c r="G63" s="188"/>
      <c r="H63" s="207">
        <f>+L63+N63+P63+R63</f>
        <v>10135706783</v>
      </c>
      <c r="I63" s="189"/>
      <c r="J63" s="193"/>
      <c r="K63" s="188"/>
      <c r="L63" s="193">
        <v>726799770</v>
      </c>
      <c r="M63" s="188"/>
      <c r="N63" s="193">
        <v>2045280580</v>
      </c>
      <c r="O63" s="214"/>
      <c r="P63" s="214">
        <v>6449921633</v>
      </c>
      <c r="Q63" s="214"/>
      <c r="R63" s="214">
        <v>913704800</v>
      </c>
    </row>
    <row r="64" spans="2:18" ht="21.75" customHeight="1" thickBot="1" x14ac:dyDescent="0.35">
      <c r="B64" s="185" t="s">
        <v>151</v>
      </c>
      <c r="C64" s="186"/>
      <c r="D64" s="186"/>
      <c r="E64" s="186"/>
      <c r="F64" s="186"/>
      <c r="G64" s="200" t="s">
        <v>132</v>
      </c>
      <c r="H64" s="201">
        <f>+H62+H63</f>
        <v>14423686102</v>
      </c>
      <c r="I64" s="200" t="s">
        <v>25</v>
      </c>
      <c r="J64" s="201">
        <f>+J62+J63</f>
        <v>2926578859</v>
      </c>
      <c r="K64" s="202" t="s">
        <v>25</v>
      </c>
      <c r="L64" s="201">
        <f>+L62+L63</f>
        <v>1510824933</v>
      </c>
      <c r="M64" s="200" t="s">
        <v>25</v>
      </c>
      <c r="N64" s="201">
        <f>+N62+N63</f>
        <v>2897199600</v>
      </c>
      <c r="O64" s="200" t="s">
        <v>132</v>
      </c>
      <c r="P64" s="201">
        <f>+P62+P63</f>
        <v>11922387973</v>
      </c>
      <c r="Q64" s="200" t="s">
        <v>25</v>
      </c>
      <c r="R64" s="201">
        <f>+R62+R63</f>
        <v>1019852455</v>
      </c>
    </row>
    <row r="65" spans="2:18" ht="16.5" customHeight="1" thickTop="1" x14ac:dyDescent="0.3">
      <c r="B65" s="187"/>
      <c r="C65" s="186"/>
      <c r="D65" s="186"/>
      <c r="E65" s="186"/>
      <c r="F65" s="186"/>
      <c r="G65" s="200"/>
      <c r="H65" s="215"/>
      <c r="I65" s="200"/>
      <c r="J65" s="215"/>
      <c r="K65" s="202"/>
      <c r="L65" s="215"/>
      <c r="M65" s="200"/>
      <c r="N65" s="215"/>
      <c r="O65" s="200"/>
      <c r="P65" s="215"/>
      <c r="Q65" s="200"/>
      <c r="R65" s="215"/>
    </row>
    <row r="66" spans="2:18" ht="21.75" customHeight="1" x14ac:dyDescent="0.3">
      <c r="B66" s="187"/>
      <c r="C66" s="186"/>
      <c r="D66" s="186"/>
      <c r="E66" s="186"/>
      <c r="F66" s="186"/>
      <c r="G66" s="200"/>
      <c r="H66" s="215"/>
      <c r="I66" s="200"/>
      <c r="J66" s="215"/>
      <c r="K66" s="202"/>
      <c r="L66" s="215"/>
      <c r="M66" s="200"/>
      <c r="N66" s="215"/>
      <c r="O66" s="200"/>
      <c r="P66" s="215"/>
      <c r="Q66" s="200"/>
      <c r="R66" s="215"/>
    </row>
    <row r="67" spans="2:18" ht="3" customHeight="1" x14ac:dyDescent="0.3">
      <c r="B67" s="172"/>
      <c r="C67" s="216"/>
      <c r="D67" s="172"/>
      <c r="E67" s="172"/>
      <c r="F67" s="172"/>
      <c r="G67" s="217"/>
      <c r="H67" s="218"/>
      <c r="I67" s="189"/>
      <c r="J67" s="218"/>
      <c r="K67" s="217"/>
      <c r="L67" s="218"/>
      <c r="M67" s="189"/>
      <c r="N67" s="218"/>
      <c r="O67" s="189"/>
      <c r="P67" s="218"/>
      <c r="Q67" s="189"/>
      <c r="R67" s="218"/>
    </row>
    <row r="68" spans="2:18" ht="21.75" x14ac:dyDescent="0.3">
      <c r="B68" s="406"/>
      <c r="C68" s="406"/>
      <c r="D68" s="406"/>
      <c r="E68" s="406"/>
      <c r="F68" s="406"/>
      <c r="G68" s="406"/>
      <c r="H68" s="406"/>
      <c r="I68" s="406"/>
      <c r="J68" s="406"/>
      <c r="K68" s="406"/>
      <c r="L68" s="406"/>
      <c r="M68" s="406"/>
      <c r="N68" s="406"/>
      <c r="O68" s="406"/>
      <c r="P68" s="406"/>
      <c r="Q68" s="406"/>
      <c r="R68" s="406"/>
    </row>
    <row r="69" spans="2:18" ht="2.25" customHeight="1" x14ac:dyDescent="0.25">
      <c r="G69" s="219"/>
      <c r="H69" s="220"/>
      <c r="I69" s="221"/>
      <c r="J69" s="221"/>
      <c r="K69" s="219"/>
      <c r="L69" s="221"/>
      <c r="M69" s="221"/>
      <c r="N69" s="221"/>
      <c r="O69" s="221"/>
      <c r="P69" s="221"/>
      <c r="Q69" s="221"/>
      <c r="R69" s="221"/>
    </row>
    <row r="73" spans="2:18" x14ac:dyDescent="0.25">
      <c r="H73" s="171">
        <f>H37-H64</f>
        <v>0</v>
      </c>
      <c r="J73" s="171">
        <f>J37-J64</f>
        <v>0</v>
      </c>
      <c r="L73" s="171">
        <f>L37-L64</f>
        <v>0</v>
      </c>
      <c r="N73" s="171">
        <f>N37-N64</f>
        <v>0</v>
      </c>
      <c r="P73" s="171">
        <f>P37-P64</f>
        <v>0</v>
      </c>
      <c r="R73" s="171">
        <f>R37-R64</f>
        <v>0</v>
      </c>
    </row>
    <row r="166" spans="8:18" x14ac:dyDescent="0.25">
      <c r="J166" s="171" t="s">
        <v>100</v>
      </c>
      <c r="N166" s="222" t="s">
        <v>100</v>
      </c>
      <c r="O166" s="222" t="s">
        <v>152</v>
      </c>
      <c r="R166" s="222" t="s">
        <v>153</v>
      </c>
    </row>
    <row r="167" spans="8:18" x14ac:dyDescent="0.25">
      <c r="H167" s="223" t="s">
        <v>154</v>
      </c>
      <c r="J167" s="222" t="s">
        <v>155</v>
      </c>
      <c r="L167" s="222" t="s">
        <v>154</v>
      </c>
      <c r="N167" s="222" t="s">
        <v>155</v>
      </c>
      <c r="O167" s="222" t="s">
        <v>156</v>
      </c>
      <c r="R167" s="222" t="s">
        <v>157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3073" r:id="rId3">
          <objectPr defaultSize="0" autoPict="0" r:id="rId4">
            <anchor moveWithCells="1" sizeWithCells="1">
              <from>
                <xdr:col>17</xdr:col>
                <xdr:colOff>933450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3073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9F8A-A901-4385-BED6-94D4A05B0EA6}">
  <dimension ref="B1:U168"/>
  <sheetViews>
    <sheetView topLeftCell="A9" zoomScale="73" zoomScaleNormal="73" workbookViewId="0">
      <selection activeCell="Z45" sqref="Z45"/>
    </sheetView>
  </sheetViews>
  <sheetFormatPr baseColWidth="10" defaultColWidth="12" defaultRowHeight="15.75" x14ac:dyDescent="0.25"/>
  <cols>
    <col min="1" max="1" width="2.85546875" style="224" customWidth="1"/>
    <col min="2" max="2" width="2.7109375" style="224" customWidth="1"/>
    <col min="3" max="3" width="1.7109375" style="224" customWidth="1"/>
    <col min="4" max="4" width="3.140625" style="224" customWidth="1"/>
    <col min="5" max="5" width="4.7109375" style="224" customWidth="1"/>
    <col min="6" max="6" width="48.28515625" style="224" customWidth="1"/>
    <col min="7" max="7" width="4.28515625" style="224" customWidth="1"/>
    <col min="8" max="8" width="21.85546875" style="224" customWidth="1"/>
    <col min="9" max="9" width="4.28515625" style="224" customWidth="1"/>
    <col min="10" max="10" width="23.28515625" style="224" customWidth="1"/>
    <col min="11" max="11" width="4.28515625" style="224" customWidth="1"/>
    <col min="12" max="12" width="22.7109375" style="224" customWidth="1"/>
    <col min="13" max="13" width="4.28515625" style="224" customWidth="1"/>
    <col min="14" max="14" width="22.42578125" style="224" customWidth="1"/>
    <col min="15" max="15" width="4.28515625" style="224" customWidth="1"/>
    <col min="16" max="16" width="23.85546875" style="224" customWidth="1"/>
    <col min="17" max="17" width="4.42578125" style="224" customWidth="1"/>
    <col min="18" max="18" width="23.28515625" style="224" customWidth="1"/>
    <col min="19" max="19" width="18.140625" style="224" customWidth="1"/>
    <col min="20" max="16384" width="12" style="224"/>
  </cols>
  <sheetData>
    <row r="1" spans="2:21" ht="10.5" customHeight="1" x14ac:dyDescent="0.25"/>
    <row r="2" spans="2:21" ht="2.25" customHeight="1" x14ac:dyDescent="0.25"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3" spans="2:21" ht="6.75" customHeight="1" x14ac:dyDescent="0.25"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2:21" ht="6.75" customHeight="1" x14ac:dyDescent="0.25"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</row>
    <row r="5" spans="2:21" s="227" customFormat="1" ht="33" customHeight="1" x14ac:dyDescent="0.3">
      <c r="B5" s="226" t="s">
        <v>0</v>
      </c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4"/>
      <c r="U5" s="228"/>
    </row>
    <row r="6" spans="2:21" s="227" customFormat="1" ht="33" customHeight="1" x14ac:dyDescent="0.3">
      <c r="B6" s="229" t="s">
        <v>158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4"/>
      <c r="U6" s="228"/>
    </row>
    <row r="7" spans="2:21" s="227" customFormat="1" ht="29.25" customHeight="1" x14ac:dyDescent="0.25">
      <c r="B7" s="230" t="str">
        <f>'[1]Balance Gral x Fondos'!B7</f>
        <v>Al 31 de Diciembre de 2023</v>
      </c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24"/>
    </row>
    <row r="8" spans="2:21" s="227" customFormat="1" ht="29.25" customHeight="1" x14ac:dyDescent="0.25">
      <c r="B8" s="230" t="str">
        <f>'[1]Balance Gral x Fondos'!B8</f>
        <v>En Balboas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24"/>
    </row>
    <row r="9" spans="2:21" ht="18.75" x14ac:dyDescent="0.25">
      <c r="B9" s="225"/>
      <c r="C9" s="225"/>
      <c r="D9" s="225"/>
      <c r="E9" s="225"/>
      <c r="F9" s="225"/>
      <c r="G9" s="225"/>
      <c r="H9" s="407" t="s">
        <v>159</v>
      </c>
      <c r="I9" s="231"/>
      <c r="J9" s="232" t="s">
        <v>160</v>
      </c>
      <c r="K9" s="231"/>
      <c r="L9" s="233" t="s">
        <v>159</v>
      </c>
      <c r="M9" s="231"/>
      <c r="N9" s="232" t="s">
        <v>161</v>
      </c>
      <c r="O9" s="231"/>
      <c r="P9" s="232" t="s">
        <v>162</v>
      </c>
      <c r="Q9" s="231"/>
      <c r="R9" s="408" t="s">
        <v>163</v>
      </c>
    </row>
    <row r="10" spans="2:21" ht="18.75" x14ac:dyDescent="0.25">
      <c r="B10" s="225"/>
      <c r="C10" s="225"/>
      <c r="D10" s="225"/>
      <c r="E10" s="225"/>
      <c r="F10" s="225"/>
      <c r="G10" s="225"/>
      <c r="H10" s="407"/>
      <c r="I10" s="231"/>
      <c r="J10" s="234" t="s">
        <v>16</v>
      </c>
      <c r="K10" s="231"/>
      <c r="L10" s="233" t="s">
        <v>13</v>
      </c>
      <c r="M10" s="231"/>
      <c r="N10" s="234" t="s">
        <v>164</v>
      </c>
      <c r="O10" s="231"/>
      <c r="P10" s="234" t="s">
        <v>165</v>
      </c>
      <c r="Q10" s="231"/>
      <c r="R10" s="409"/>
    </row>
    <row r="11" spans="2:21" ht="18.75" x14ac:dyDescent="0.25">
      <c r="B11" s="235"/>
      <c r="C11" s="225"/>
      <c r="D11" s="225"/>
      <c r="E11" s="225"/>
      <c r="F11" s="225"/>
      <c r="G11" s="225"/>
      <c r="H11" s="407"/>
      <c r="I11" s="231"/>
      <c r="J11" s="234" t="s">
        <v>22</v>
      </c>
      <c r="K11" s="231"/>
      <c r="L11" s="233" t="s">
        <v>17</v>
      </c>
      <c r="M11" s="236"/>
      <c r="N11" s="232" t="s">
        <v>22</v>
      </c>
      <c r="O11" s="231"/>
      <c r="P11" s="232" t="s">
        <v>166</v>
      </c>
      <c r="Q11" s="231"/>
      <c r="R11" s="409"/>
    </row>
    <row r="12" spans="2:21" ht="3" customHeight="1" thickBot="1" x14ac:dyDescent="0.3">
      <c r="B12" s="237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</row>
    <row r="13" spans="2:21" ht="3" customHeight="1" x14ac:dyDescent="0.25"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</row>
    <row r="14" spans="2:21" ht="21" customHeight="1" x14ac:dyDescent="0.25">
      <c r="B14" s="239" t="s">
        <v>167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</row>
    <row r="15" spans="2:21" ht="18" customHeight="1" x14ac:dyDescent="0.25">
      <c r="B15" s="240"/>
      <c r="C15" s="241" t="s">
        <v>110</v>
      </c>
      <c r="D15" s="240"/>
      <c r="E15" s="240"/>
      <c r="F15" s="240"/>
      <c r="G15" s="242"/>
      <c r="H15" s="243"/>
      <c r="I15" s="243"/>
      <c r="J15" s="243"/>
      <c r="K15" s="242"/>
      <c r="L15" s="243"/>
      <c r="M15" s="243"/>
      <c r="N15" s="243"/>
      <c r="O15" s="243"/>
      <c r="P15" s="243"/>
      <c r="Q15" s="243"/>
      <c r="R15" s="243"/>
    </row>
    <row r="16" spans="2:21" ht="18.75" x14ac:dyDescent="0.25">
      <c r="B16" s="240"/>
      <c r="C16" s="244"/>
      <c r="D16" s="244" t="s">
        <v>111</v>
      </c>
      <c r="E16" s="240"/>
      <c r="F16" s="240"/>
      <c r="G16" s="245" t="s">
        <v>25</v>
      </c>
      <c r="H16" s="243">
        <f t="shared" ref="H16:H23" si="0">R16+L16+J16</f>
        <v>1920735167</v>
      </c>
      <c r="I16" s="246" t="s">
        <v>25</v>
      </c>
      <c r="J16" s="193">
        <v>814015763</v>
      </c>
      <c r="K16" s="191" t="s">
        <v>25</v>
      </c>
      <c r="L16" s="193">
        <f>SUM(N16+P16)</f>
        <v>1106719404</v>
      </c>
      <c r="M16" s="192" t="s">
        <v>25</v>
      </c>
      <c r="N16" s="193">
        <v>778676607</v>
      </c>
      <c r="O16" s="192"/>
      <c r="P16" s="193">
        <v>328042797</v>
      </c>
      <c r="Q16" s="192" t="s">
        <v>25</v>
      </c>
      <c r="R16" s="193"/>
    </row>
    <row r="17" spans="2:18" ht="18.75" x14ac:dyDescent="0.25">
      <c r="B17" s="240"/>
      <c r="C17" s="244"/>
      <c r="D17" s="244" t="s">
        <v>112</v>
      </c>
      <c r="E17" s="240"/>
      <c r="F17" s="240"/>
      <c r="G17" s="242"/>
      <c r="H17" s="243">
        <f t="shared" si="0"/>
        <v>624025000</v>
      </c>
      <c r="I17" s="243"/>
      <c r="J17" s="193">
        <v>542771461</v>
      </c>
      <c r="K17" s="188"/>
      <c r="L17" s="193">
        <f t="shared" ref="L17:L22" si="1">SUM(N17+P17)</f>
        <v>81253539</v>
      </c>
      <c r="M17" s="189"/>
      <c r="N17" s="193">
        <v>29735174</v>
      </c>
      <c r="O17" s="189"/>
      <c r="P17" s="193">
        <v>51518365</v>
      </c>
      <c r="Q17" s="189"/>
    </row>
    <row r="18" spans="2:18" ht="18.75" x14ac:dyDescent="0.25">
      <c r="B18" s="240"/>
      <c r="C18" s="244"/>
      <c r="D18" s="244" t="s">
        <v>113</v>
      </c>
      <c r="E18" s="240"/>
      <c r="F18" s="240"/>
      <c r="G18" s="242"/>
      <c r="H18" s="243">
        <f>R18+L18+J18</f>
        <v>431515931</v>
      </c>
      <c r="I18" s="243"/>
      <c r="J18" s="193">
        <v>408287240</v>
      </c>
      <c r="K18" s="188"/>
      <c r="L18" s="193">
        <f>SUM(N18+P18)</f>
        <v>10083950</v>
      </c>
      <c r="M18" s="189"/>
      <c r="N18" s="193">
        <v>1164118</v>
      </c>
      <c r="P18" s="193">
        <v>8919832</v>
      </c>
      <c r="Q18" s="189"/>
      <c r="R18" s="193">
        <v>13144741</v>
      </c>
    </row>
    <row r="19" spans="2:18" ht="18.75" x14ac:dyDescent="0.25">
      <c r="B19" s="240"/>
      <c r="C19" s="244"/>
      <c r="D19" s="244" t="s">
        <v>114</v>
      </c>
      <c r="E19" s="240"/>
      <c r="F19" s="240"/>
      <c r="G19" s="242"/>
      <c r="H19" s="243">
        <f t="shared" si="0"/>
        <v>62133089</v>
      </c>
      <c r="I19" s="243"/>
      <c r="J19" s="193">
        <v>19155157</v>
      </c>
      <c r="K19" s="188"/>
      <c r="L19" s="193">
        <f>SUM(N19+P19)</f>
        <v>42977932</v>
      </c>
      <c r="M19" s="189"/>
      <c r="N19" s="193">
        <v>28595396</v>
      </c>
      <c r="O19" s="189"/>
      <c r="P19" s="193">
        <v>14382536</v>
      </c>
      <c r="Q19" s="189"/>
      <c r="R19" s="193"/>
    </row>
    <row r="20" spans="2:18" ht="18.75" x14ac:dyDescent="0.25">
      <c r="B20" s="240"/>
      <c r="C20" s="244"/>
      <c r="D20" s="244" t="s">
        <v>115</v>
      </c>
      <c r="E20" s="240"/>
      <c r="F20" s="240"/>
      <c r="G20" s="242"/>
      <c r="H20" s="243">
        <f t="shared" si="0"/>
        <v>5308906</v>
      </c>
      <c r="I20" s="243"/>
      <c r="J20" s="193">
        <v>5308906</v>
      </c>
      <c r="K20" s="188"/>
      <c r="L20" s="198">
        <f t="shared" si="1"/>
        <v>0</v>
      </c>
      <c r="M20" s="189"/>
      <c r="N20" s="193"/>
      <c r="O20" s="189"/>
      <c r="P20" s="193"/>
      <c r="Q20" s="189"/>
      <c r="R20" s="193"/>
    </row>
    <row r="21" spans="2:18" ht="18.75" x14ac:dyDescent="0.25">
      <c r="B21" s="240"/>
      <c r="C21" s="244"/>
      <c r="D21" s="244" t="s">
        <v>168</v>
      </c>
      <c r="E21" s="240"/>
      <c r="F21" s="240"/>
      <c r="G21" s="242"/>
      <c r="H21" s="243">
        <f>R21+L21+J21</f>
        <v>2005838700</v>
      </c>
      <c r="I21" s="243"/>
      <c r="J21" s="193"/>
      <c r="K21" s="188"/>
      <c r="L21" s="247">
        <f>SUM(N21+P21)</f>
        <v>1834685214</v>
      </c>
      <c r="M21" s="189"/>
      <c r="N21" s="193">
        <v>1110449140</v>
      </c>
      <c r="O21" s="189"/>
      <c r="P21" s="193">
        <v>724236074</v>
      </c>
      <c r="Q21" s="189"/>
      <c r="R21" s="193">
        <f>12752584+158400905-3</f>
        <v>171153486</v>
      </c>
    </row>
    <row r="22" spans="2:18" ht="18.75" hidden="1" x14ac:dyDescent="0.25">
      <c r="B22" s="240"/>
      <c r="C22" s="244"/>
      <c r="D22" s="190" t="s">
        <v>118</v>
      </c>
      <c r="E22" s="240"/>
      <c r="F22" s="240"/>
      <c r="G22" s="242"/>
      <c r="H22" s="248">
        <f t="shared" si="0"/>
        <v>0</v>
      </c>
      <c r="I22" s="243"/>
      <c r="J22" s="193"/>
      <c r="K22" s="188"/>
      <c r="L22" s="198">
        <f t="shared" si="1"/>
        <v>0</v>
      </c>
      <c r="M22" s="189"/>
      <c r="N22" s="193"/>
      <c r="O22" s="189"/>
      <c r="P22" s="193"/>
      <c r="Q22" s="189"/>
      <c r="R22" s="193"/>
    </row>
    <row r="23" spans="2:18" ht="18.75" hidden="1" x14ac:dyDescent="0.25">
      <c r="B23" s="240"/>
      <c r="C23" s="244"/>
      <c r="D23" s="244" t="s">
        <v>120</v>
      </c>
      <c r="E23" s="240"/>
      <c r="F23" s="240"/>
      <c r="G23" s="242"/>
      <c r="H23" s="243">
        <f t="shared" si="0"/>
        <v>0</v>
      </c>
      <c r="I23" s="243"/>
      <c r="J23" s="193"/>
      <c r="K23" s="188"/>
      <c r="L23" s="249">
        <f>SUM(N23+P23)</f>
        <v>0</v>
      </c>
      <c r="M23" s="189"/>
      <c r="N23" s="193"/>
      <c r="O23" s="189"/>
      <c r="P23" s="193"/>
      <c r="Q23" s="189"/>
      <c r="R23" s="193"/>
    </row>
    <row r="24" spans="2:18" ht="18.75" x14ac:dyDescent="0.25">
      <c r="B24" s="240"/>
      <c r="C24" s="240"/>
      <c r="D24" s="240"/>
      <c r="E24" s="244" t="s">
        <v>121</v>
      </c>
      <c r="F24" s="240"/>
      <c r="G24" s="242"/>
      <c r="H24" s="250">
        <f>SUM(H16:H23)</f>
        <v>5049556793</v>
      </c>
      <c r="I24" s="243"/>
      <c r="J24" s="196">
        <f>SUM(J16:J23)</f>
        <v>1789538527</v>
      </c>
      <c r="K24" s="188"/>
      <c r="L24" s="193">
        <f>P24+N24</f>
        <v>3075720039</v>
      </c>
      <c r="M24" s="189"/>
      <c r="N24" s="196">
        <f>SUM(N16:N23)</f>
        <v>1948620435</v>
      </c>
      <c r="O24" s="189"/>
      <c r="P24" s="196">
        <f>SUM(P16:P23)</f>
        <v>1127099604</v>
      </c>
      <c r="Q24" s="189"/>
      <c r="R24" s="196">
        <f>SUM(R16:R23)</f>
        <v>184298227</v>
      </c>
    </row>
    <row r="25" spans="2:18" ht="6.75" customHeight="1" x14ac:dyDescent="0.25">
      <c r="B25" s="240"/>
      <c r="C25" s="240"/>
      <c r="D25" s="240"/>
      <c r="E25" s="240"/>
      <c r="F25" s="240"/>
      <c r="G25" s="242"/>
      <c r="H25" s="243"/>
      <c r="I25" s="243"/>
      <c r="J25" s="189"/>
      <c r="K25" s="188"/>
      <c r="L25" s="189"/>
      <c r="M25" s="189"/>
      <c r="N25" s="189"/>
      <c r="O25" s="189"/>
      <c r="P25" s="189"/>
      <c r="Q25" s="189"/>
      <c r="R25" s="189"/>
    </row>
    <row r="26" spans="2:18" ht="18.75" x14ac:dyDescent="0.25">
      <c r="B26" s="240"/>
      <c r="C26" s="244"/>
      <c r="D26" s="244" t="s">
        <v>122</v>
      </c>
      <c r="E26" s="240"/>
      <c r="F26" s="240"/>
      <c r="G26" s="242"/>
      <c r="H26" s="243">
        <f>R26+L26+J26</f>
        <v>3387824463</v>
      </c>
      <c r="I26" s="243"/>
      <c r="J26" s="193">
        <v>36033030</v>
      </c>
      <c r="K26" s="188"/>
      <c r="L26" s="193">
        <f>SUM(N26+P26)</f>
        <v>3351791433</v>
      </c>
      <c r="M26" s="189"/>
      <c r="N26" s="193">
        <v>2270935516</v>
      </c>
      <c r="P26" s="193">
        <v>1080855917</v>
      </c>
      <c r="Q26" s="189"/>
      <c r="R26" s="193"/>
    </row>
    <row r="27" spans="2:18" ht="24" customHeight="1" x14ac:dyDescent="0.25">
      <c r="B27" s="240"/>
      <c r="C27" s="244"/>
      <c r="D27" s="244" t="s">
        <v>123</v>
      </c>
      <c r="E27" s="240"/>
      <c r="F27" s="240"/>
      <c r="G27" s="242"/>
      <c r="H27" s="243">
        <f>R27+L27+J27</f>
        <v>2815532727</v>
      </c>
      <c r="I27" s="243"/>
      <c r="J27" s="193">
        <v>56660793</v>
      </c>
      <c r="K27" s="188"/>
      <c r="L27" s="193">
        <f>SUM(N27+P27)</f>
        <v>2758871934</v>
      </c>
      <c r="M27" s="189"/>
      <c r="N27" s="193">
        <v>1689887170</v>
      </c>
      <c r="P27" s="193">
        <v>1068984764</v>
      </c>
      <c r="Q27" s="189"/>
      <c r="R27" s="193"/>
    </row>
    <row r="28" spans="2:18" ht="18.75" x14ac:dyDescent="0.25">
      <c r="B28" s="240"/>
      <c r="C28" s="244"/>
      <c r="D28" s="244" t="s">
        <v>124</v>
      </c>
      <c r="E28" s="240"/>
      <c r="F28" s="240"/>
      <c r="G28" s="242"/>
      <c r="H28" s="243">
        <f>R28+L28+J28</f>
        <v>50090647</v>
      </c>
      <c r="I28" s="243"/>
      <c r="J28" s="243"/>
      <c r="K28" s="188"/>
      <c r="L28" s="198">
        <f>SUM(N28+P28)</f>
        <v>50090647</v>
      </c>
      <c r="M28" s="189"/>
      <c r="N28" s="193">
        <v>50090647</v>
      </c>
      <c r="O28" s="189"/>
      <c r="P28" s="193"/>
      <c r="Q28" s="189"/>
      <c r="R28" s="193"/>
    </row>
    <row r="29" spans="2:18" ht="19.899999999999999" customHeight="1" x14ac:dyDescent="0.25">
      <c r="B29" s="240"/>
      <c r="C29" s="244"/>
      <c r="D29" s="244" t="s">
        <v>125</v>
      </c>
      <c r="E29" s="240"/>
      <c r="F29" s="240"/>
      <c r="G29" s="242"/>
      <c r="H29" s="243">
        <f>R29+L29+J29</f>
        <v>80739114</v>
      </c>
      <c r="I29" s="243"/>
      <c r="J29" s="193"/>
      <c r="K29" s="188"/>
      <c r="L29" s="198">
        <f>SUM(N29+P29)</f>
        <v>80739114</v>
      </c>
      <c r="M29" s="189"/>
      <c r="N29" s="193">
        <v>80739114</v>
      </c>
      <c r="O29" s="189"/>
      <c r="P29" s="193"/>
      <c r="Q29" s="189"/>
      <c r="R29" s="193"/>
    </row>
    <row r="30" spans="2:18" ht="18.75" x14ac:dyDescent="0.25">
      <c r="B30" s="240"/>
      <c r="C30" s="244"/>
      <c r="D30" s="244" t="s">
        <v>126</v>
      </c>
      <c r="E30" s="240"/>
      <c r="F30" s="240"/>
      <c r="G30" s="242"/>
      <c r="H30" s="243"/>
      <c r="I30" s="240"/>
      <c r="J30" s="193"/>
      <c r="K30" s="186"/>
      <c r="L30" s="198"/>
      <c r="M30" s="186"/>
      <c r="N30" s="193"/>
      <c r="O30" s="189"/>
      <c r="P30" s="193"/>
      <c r="Q30" s="189"/>
      <c r="R30" s="193"/>
    </row>
    <row r="31" spans="2:18" ht="18.75" x14ac:dyDescent="0.25">
      <c r="B31" s="240"/>
      <c r="C31" s="244"/>
      <c r="D31" s="244" t="s">
        <v>127</v>
      </c>
      <c r="E31" s="240"/>
      <c r="F31" s="240"/>
      <c r="G31" s="242"/>
      <c r="H31" s="243">
        <f>R31+L31+J31</f>
        <v>796820</v>
      </c>
      <c r="I31" s="243"/>
      <c r="J31" s="193">
        <v>796820</v>
      </c>
      <c r="K31" s="188"/>
      <c r="L31" s="198">
        <f>SUM(N31+P31)</f>
        <v>0</v>
      </c>
      <c r="M31" s="186"/>
      <c r="N31" s="193"/>
      <c r="O31" s="189"/>
      <c r="P31" s="193"/>
      <c r="Q31" s="189"/>
      <c r="R31" s="193"/>
    </row>
    <row r="32" spans="2:18" ht="18.75" x14ac:dyDescent="0.25">
      <c r="B32" s="240"/>
      <c r="C32" s="244"/>
      <c r="D32" s="244" t="s">
        <v>128</v>
      </c>
      <c r="E32" s="240"/>
      <c r="F32" s="240"/>
      <c r="G32" s="242"/>
      <c r="H32" s="243">
        <f>R32+L32+J32</f>
        <v>17412498</v>
      </c>
      <c r="I32" s="243"/>
      <c r="J32" s="193">
        <v>17412498</v>
      </c>
      <c r="K32" s="188"/>
      <c r="L32" s="198">
        <f>SUM(N32+P32)</f>
        <v>0</v>
      </c>
      <c r="M32" s="189"/>
      <c r="N32" s="193"/>
      <c r="O32" s="189"/>
      <c r="P32" s="193"/>
      <c r="Q32" s="189"/>
      <c r="R32" s="193"/>
    </row>
    <row r="33" spans="2:18" ht="19.5" customHeight="1" x14ac:dyDescent="0.25">
      <c r="B33" s="240"/>
      <c r="C33" s="244"/>
      <c r="D33" s="244" t="s">
        <v>169</v>
      </c>
      <c r="E33" s="240"/>
      <c r="F33" s="240"/>
      <c r="G33" s="242"/>
      <c r="H33" s="243">
        <f>R33+L33+J33</f>
        <v>462992107</v>
      </c>
      <c r="I33" s="243"/>
      <c r="J33" s="193">
        <v>265307614</v>
      </c>
      <c r="K33" s="188"/>
      <c r="L33" s="198">
        <f>SUM(N33+P33)</f>
        <v>0</v>
      </c>
      <c r="M33" s="189"/>
      <c r="N33" s="193"/>
      <c r="O33" s="189"/>
      <c r="P33" s="193"/>
      <c r="Q33" s="189"/>
      <c r="R33" s="193">
        <v>197684493</v>
      </c>
    </row>
    <row r="34" spans="2:18" ht="19.5" customHeight="1" x14ac:dyDescent="0.25">
      <c r="B34" s="240"/>
      <c r="C34" s="244"/>
      <c r="D34" s="244" t="s">
        <v>130</v>
      </c>
      <c r="E34" s="240"/>
      <c r="F34" s="240"/>
      <c r="G34" s="242"/>
      <c r="H34" s="243">
        <f>R34+L34+J34</f>
        <v>57442804</v>
      </c>
      <c r="I34" s="243"/>
      <c r="J34" s="193">
        <v>3766737</v>
      </c>
      <c r="K34" s="188"/>
      <c r="L34" s="193">
        <f>SUM(N34+P34)</f>
        <v>53676067</v>
      </c>
      <c r="M34" s="189"/>
      <c r="N34" s="193">
        <v>36041551</v>
      </c>
      <c r="O34" s="189"/>
      <c r="P34" s="193">
        <v>17634516</v>
      </c>
      <c r="Q34" s="189"/>
      <c r="R34" s="193"/>
    </row>
    <row r="35" spans="2:18" ht="2.25" customHeight="1" x14ac:dyDescent="0.3">
      <c r="B35" s="240"/>
      <c r="C35" s="251"/>
      <c r="D35" s="240"/>
      <c r="E35" s="240"/>
      <c r="F35" s="240"/>
      <c r="G35" s="242"/>
      <c r="H35" s="243"/>
      <c r="I35" s="243"/>
      <c r="J35" s="189"/>
      <c r="K35" s="188"/>
      <c r="L35" s="189"/>
      <c r="M35" s="189"/>
      <c r="N35" s="189"/>
      <c r="O35" s="189"/>
      <c r="P35" s="189"/>
      <c r="Q35" s="189"/>
      <c r="R35" s="189"/>
    </row>
    <row r="36" spans="2:18" ht="21" customHeight="1" thickBot="1" x14ac:dyDescent="0.35">
      <c r="B36" s="239" t="s">
        <v>170</v>
      </c>
      <c r="C36" s="240"/>
      <c r="D36" s="240"/>
      <c r="E36" s="240"/>
      <c r="F36" s="240"/>
      <c r="G36" s="252" t="s">
        <v>132</v>
      </c>
      <c r="H36" s="253">
        <f>SUM(H24:H34)</f>
        <v>11922387973</v>
      </c>
      <c r="I36" s="252" t="s">
        <v>133</v>
      </c>
      <c r="J36" s="201">
        <f>SUM(J24:J34)</f>
        <v>2169516019</v>
      </c>
      <c r="K36" s="202" t="s">
        <v>133</v>
      </c>
      <c r="L36" s="254">
        <f>P36+N36</f>
        <v>9370889234</v>
      </c>
      <c r="M36" s="200" t="s">
        <v>25</v>
      </c>
      <c r="N36" s="201">
        <f>SUM(N24:N34)</f>
        <v>6076314433</v>
      </c>
      <c r="O36" s="200" t="s">
        <v>132</v>
      </c>
      <c r="P36" s="201">
        <f>SUM(P24:P34)</f>
        <v>3294574801</v>
      </c>
      <c r="Q36" s="200" t="s">
        <v>25</v>
      </c>
      <c r="R36" s="201">
        <f>SUM(R24:R34)</f>
        <v>381982720</v>
      </c>
    </row>
    <row r="37" spans="2:18" ht="3.75" customHeight="1" thickTop="1" x14ac:dyDescent="0.25">
      <c r="B37" s="240"/>
      <c r="C37" s="244"/>
      <c r="D37" s="240"/>
      <c r="E37" s="240"/>
      <c r="F37" s="240"/>
      <c r="G37" s="242"/>
      <c r="H37" s="243"/>
      <c r="I37" s="243"/>
      <c r="J37" s="189"/>
      <c r="K37" s="188"/>
      <c r="L37" s="189"/>
      <c r="M37" s="189"/>
      <c r="N37" s="189"/>
      <c r="O37" s="189"/>
      <c r="P37" s="189"/>
      <c r="Q37" s="189"/>
      <c r="R37" s="189"/>
    </row>
    <row r="38" spans="2:18" ht="3.75" customHeight="1" x14ac:dyDescent="0.3">
      <c r="B38" s="240"/>
      <c r="C38" s="255"/>
      <c r="D38" s="240"/>
      <c r="E38" s="240"/>
      <c r="F38" s="240"/>
      <c r="G38" s="242"/>
      <c r="H38" s="243"/>
      <c r="I38" s="243"/>
      <c r="J38" s="189"/>
      <c r="K38" s="188"/>
      <c r="L38" s="189"/>
      <c r="M38" s="189"/>
      <c r="N38" s="189"/>
      <c r="O38" s="189"/>
      <c r="P38" s="189"/>
      <c r="Q38" s="189"/>
      <c r="R38" s="189"/>
    </row>
    <row r="39" spans="2:18" ht="19.5" x14ac:dyDescent="0.3">
      <c r="B39" s="251" t="s">
        <v>171</v>
      </c>
      <c r="C39" s="256"/>
      <c r="D39" s="256"/>
      <c r="E39" s="256"/>
      <c r="F39" s="256"/>
      <c r="G39" s="257"/>
      <c r="H39" s="243"/>
      <c r="I39" s="243"/>
      <c r="J39" s="189"/>
      <c r="K39" s="188"/>
      <c r="L39" s="189"/>
      <c r="M39" s="189"/>
      <c r="N39" s="189"/>
      <c r="O39" s="189"/>
      <c r="P39" s="189"/>
      <c r="Q39" s="189"/>
      <c r="R39" s="189"/>
    </row>
    <row r="40" spans="2:18" ht="21.75" customHeight="1" x14ac:dyDescent="0.25">
      <c r="B40" s="240"/>
      <c r="C40" s="241" t="s">
        <v>135</v>
      </c>
      <c r="D40" s="240"/>
      <c r="E40" s="240"/>
      <c r="F40" s="240"/>
      <c r="G40" s="240"/>
      <c r="H40" s="243"/>
      <c r="I40" s="243"/>
      <c r="J40" s="189"/>
      <c r="K40" s="188"/>
      <c r="L40" s="189"/>
      <c r="M40" s="189"/>
      <c r="N40" s="193"/>
      <c r="O40" s="189"/>
      <c r="P40" s="189"/>
      <c r="Q40" s="189"/>
      <c r="R40" s="189"/>
    </row>
    <row r="41" spans="2:18" ht="20.25" customHeight="1" x14ac:dyDescent="0.25">
      <c r="B41" s="240"/>
      <c r="C41" s="244" t="s">
        <v>136</v>
      </c>
      <c r="D41" s="258"/>
      <c r="E41" s="240"/>
      <c r="F41" s="240"/>
      <c r="G41" s="240"/>
      <c r="H41" s="243"/>
      <c r="I41" s="240"/>
      <c r="J41" s="193"/>
      <c r="K41" s="186"/>
      <c r="L41" s="193"/>
      <c r="M41" s="186"/>
      <c r="N41" s="193"/>
      <c r="O41" s="186"/>
      <c r="P41" s="193"/>
      <c r="Q41" s="186"/>
      <c r="R41" s="193"/>
    </row>
    <row r="42" spans="2:18" ht="18.75" x14ac:dyDescent="0.25">
      <c r="B42" s="240"/>
      <c r="C42" s="258" t="s">
        <v>137</v>
      </c>
      <c r="D42" s="258"/>
      <c r="E42" s="240"/>
      <c r="F42" s="240"/>
      <c r="G42" s="259" t="s">
        <v>25</v>
      </c>
      <c r="H42" s="243">
        <f t="shared" ref="H42:H47" si="2">R42+L42+J42</f>
        <v>73735</v>
      </c>
      <c r="I42" s="245" t="s">
        <v>25</v>
      </c>
      <c r="J42" s="193">
        <v>73735</v>
      </c>
      <c r="K42" s="191" t="s">
        <v>25</v>
      </c>
      <c r="L42" s="193"/>
      <c r="M42" s="191" t="s">
        <v>25</v>
      </c>
      <c r="N42" s="193"/>
      <c r="O42" s="191" t="s">
        <v>25</v>
      </c>
      <c r="P42" s="193"/>
      <c r="Q42" s="191" t="s">
        <v>25</v>
      </c>
      <c r="R42" s="193"/>
    </row>
    <row r="43" spans="2:18" ht="18.75" hidden="1" x14ac:dyDescent="0.25">
      <c r="B43" s="240"/>
      <c r="C43" s="195" t="s">
        <v>138</v>
      </c>
      <c r="D43" s="258"/>
      <c r="E43" s="240"/>
      <c r="F43" s="240"/>
      <c r="G43" s="259"/>
      <c r="H43" s="243">
        <f t="shared" si="2"/>
        <v>0</v>
      </c>
      <c r="I43" s="245"/>
      <c r="J43" s="193"/>
      <c r="K43" s="191"/>
      <c r="L43" s="193"/>
      <c r="M43" s="191"/>
      <c r="N43" s="193"/>
      <c r="O43" s="191"/>
      <c r="P43" s="193"/>
      <c r="Q43" s="191"/>
      <c r="R43" s="193"/>
    </row>
    <row r="44" spans="2:18" ht="18.75" x14ac:dyDescent="0.25">
      <c r="B44" s="240"/>
      <c r="C44" s="244"/>
      <c r="D44" s="244" t="s">
        <v>139</v>
      </c>
      <c r="E44" s="240"/>
      <c r="F44" s="240"/>
      <c r="G44" s="259"/>
      <c r="H44" s="243">
        <f t="shared" si="2"/>
        <v>434289714</v>
      </c>
      <c r="I44" s="245"/>
      <c r="J44" s="193">
        <v>7194380</v>
      </c>
      <c r="K44" s="191"/>
      <c r="L44" s="193">
        <f>P44+N44</f>
        <v>427095334</v>
      </c>
      <c r="M44" s="191"/>
      <c r="N44" s="193">
        <v>338398673</v>
      </c>
      <c r="O44" s="191"/>
      <c r="P44" s="193">
        <v>88696661</v>
      </c>
      <c r="Q44" s="191"/>
      <c r="R44" s="193"/>
    </row>
    <row r="45" spans="2:18" ht="18.75" x14ac:dyDescent="0.25">
      <c r="B45" s="240"/>
      <c r="C45" s="244"/>
      <c r="D45" s="244" t="s">
        <v>140</v>
      </c>
      <c r="E45" s="240"/>
      <c r="F45" s="240"/>
      <c r="G45" s="242"/>
      <c r="H45" s="243">
        <f>R45+L45+J45</f>
        <v>40193525</v>
      </c>
      <c r="I45" s="243"/>
      <c r="J45" s="193">
        <v>96418</v>
      </c>
      <c r="K45" s="188"/>
      <c r="L45" s="193">
        <f>P45+N45</f>
        <v>40097107</v>
      </c>
      <c r="M45" s="193"/>
      <c r="N45" s="193">
        <v>21937416</v>
      </c>
      <c r="O45" s="193"/>
      <c r="P45" s="193">
        <v>18159691</v>
      </c>
      <c r="Q45" s="193"/>
      <c r="R45" s="193"/>
    </row>
    <row r="46" spans="2:18" ht="18.75" x14ac:dyDescent="0.25">
      <c r="B46" s="240"/>
      <c r="C46" s="244" t="s">
        <v>141</v>
      </c>
      <c r="D46" s="244"/>
      <c r="E46" s="240"/>
      <c r="F46" s="240"/>
      <c r="G46" s="242"/>
      <c r="H46" s="243">
        <f t="shared" si="2"/>
        <v>2806807</v>
      </c>
      <c r="I46" s="243"/>
      <c r="J46" s="193">
        <v>2806807</v>
      </c>
      <c r="K46" s="188"/>
      <c r="L46" s="198">
        <f>P46+N46</f>
        <v>0</v>
      </c>
      <c r="M46" s="193"/>
      <c r="N46" s="193"/>
      <c r="O46" s="193"/>
      <c r="P46" s="193"/>
      <c r="Q46" s="193"/>
      <c r="R46" s="193"/>
    </row>
    <row r="47" spans="2:18" ht="18.75" x14ac:dyDescent="0.25">
      <c r="B47" s="240"/>
      <c r="C47" s="244" t="s">
        <v>172</v>
      </c>
      <c r="D47" s="244"/>
      <c r="E47" s="240"/>
      <c r="F47" s="240"/>
      <c r="G47" s="242"/>
      <c r="H47" s="243">
        <f t="shared" si="2"/>
        <v>1807384110</v>
      </c>
      <c r="I47" s="243"/>
      <c r="J47" s="193">
        <v>1807384110</v>
      </c>
      <c r="K47" s="188"/>
      <c r="L47" s="193"/>
      <c r="M47" s="193"/>
      <c r="N47" s="193"/>
      <c r="O47" s="193"/>
      <c r="P47" s="193"/>
      <c r="Q47" s="193"/>
      <c r="R47" s="193"/>
    </row>
    <row r="48" spans="2:18" ht="23.25" customHeight="1" x14ac:dyDescent="0.25">
      <c r="B48" s="240"/>
      <c r="C48" s="240"/>
      <c r="D48" s="240"/>
      <c r="E48" s="244" t="s">
        <v>144</v>
      </c>
      <c r="F48" s="240"/>
      <c r="G48" s="242"/>
      <c r="H48" s="260">
        <f>SUM(H42:H47)</f>
        <v>2284747891</v>
      </c>
      <c r="I48" s="243"/>
      <c r="J48" s="260">
        <f>SUM(J42:J47)</f>
        <v>1817555450</v>
      </c>
      <c r="K48" s="188"/>
      <c r="L48" s="260">
        <f>SUM(L42:L47)</f>
        <v>467192441</v>
      </c>
      <c r="M48" s="261"/>
      <c r="N48" s="260">
        <f>SUM(N42:N47)</f>
        <v>360336089</v>
      </c>
      <c r="O48" s="189"/>
      <c r="P48" s="197">
        <f>SUM(P42:P47)</f>
        <v>106856352</v>
      </c>
      <c r="Q48" s="189"/>
      <c r="R48" s="262">
        <f>SUM(R42:R47)</f>
        <v>0</v>
      </c>
    </row>
    <row r="49" spans="2:18" ht="4.5" customHeight="1" x14ac:dyDescent="0.25">
      <c r="B49" s="240"/>
      <c r="C49" s="241"/>
      <c r="D49" s="240"/>
      <c r="E49" s="244"/>
      <c r="F49" s="240"/>
      <c r="G49" s="242"/>
      <c r="H49" s="243"/>
      <c r="I49" s="243"/>
      <c r="J49" s="263"/>
      <c r="K49" s="188"/>
      <c r="L49" s="189"/>
      <c r="M49" s="189"/>
      <c r="N49" s="189"/>
      <c r="O49" s="189"/>
      <c r="P49" s="189"/>
      <c r="Q49" s="189"/>
      <c r="R49" s="189"/>
    </row>
    <row r="50" spans="2:18" ht="16.7" customHeight="1" x14ac:dyDescent="0.25">
      <c r="B50" s="240"/>
      <c r="C50" s="241" t="s">
        <v>173</v>
      </c>
      <c r="D50" s="241"/>
      <c r="E50" s="244"/>
      <c r="F50" s="240"/>
      <c r="G50" s="242"/>
      <c r="H50" s="243"/>
      <c r="I50" s="243"/>
      <c r="J50" s="263"/>
      <c r="K50" s="188"/>
      <c r="L50" s="189"/>
      <c r="M50" s="189"/>
      <c r="N50" s="189"/>
      <c r="O50" s="189"/>
      <c r="P50" s="189"/>
      <c r="Q50" s="189"/>
      <c r="R50" s="189"/>
    </row>
    <row r="51" spans="2:18" ht="23.25" customHeight="1" x14ac:dyDescent="0.25">
      <c r="B51" s="240"/>
      <c r="C51" s="241"/>
      <c r="D51" s="241" t="s">
        <v>146</v>
      </c>
      <c r="E51" s="240"/>
      <c r="F51" s="240"/>
      <c r="G51" s="242"/>
      <c r="H51" s="243">
        <f>+P51</f>
        <v>3187718449</v>
      </c>
      <c r="I51" s="243"/>
      <c r="J51" s="193"/>
      <c r="K51" s="188"/>
      <c r="L51" s="193">
        <f>P51+N51</f>
        <v>3187718449</v>
      </c>
      <c r="M51" s="189"/>
      <c r="N51" s="189"/>
      <c r="O51" s="189"/>
      <c r="P51" s="189">
        <v>3187718449</v>
      </c>
      <c r="Q51" s="189"/>
      <c r="R51" s="189"/>
    </row>
    <row r="52" spans="2:18" ht="3.75" customHeight="1" x14ac:dyDescent="0.25">
      <c r="B52" s="240"/>
      <c r="C52" s="240"/>
      <c r="D52" s="258"/>
      <c r="E52" s="240"/>
      <c r="F52" s="240"/>
      <c r="G52" s="242"/>
      <c r="H52" s="264"/>
      <c r="I52" s="243"/>
      <c r="J52" s="247"/>
      <c r="K52" s="188"/>
      <c r="L52" s="247"/>
      <c r="M52" s="189"/>
      <c r="N52" s="247"/>
      <c r="O52" s="189"/>
      <c r="P52" s="247"/>
      <c r="Q52" s="189"/>
      <c r="R52" s="247"/>
    </row>
    <row r="53" spans="2:18" ht="18.75" customHeight="1" x14ac:dyDescent="0.25">
      <c r="B53" s="241"/>
      <c r="C53" s="240"/>
      <c r="D53" s="240"/>
      <c r="E53" s="241" t="s">
        <v>148</v>
      </c>
      <c r="F53" s="240"/>
      <c r="G53" s="242"/>
      <c r="H53" s="265">
        <f>SUM(H51:H52)</f>
        <v>3187718449</v>
      </c>
      <c r="I53" s="243"/>
      <c r="J53" s="266">
        <f>SUM(J51:J52)</f>
        <v>0</v>
      </c>
      <c r="K53" s="267"/>
      <c r="L53" s="266">
        <f>SUM(L51:L52)</f>
        <v>3187718449</v>
      </c>
      <c r="M53" s="189"/>
      <c r="N53" s="266">
        <f>SUM(N51:N52)</f>
        <v>0</v>
      </c>
      <c r="O53" s="189"/>
      <c r="P53" s="265">
        <f>SUM(P51:P52)</f>
        <v>3187718449</v>
      </c>
      <c r="Q53" s="189"/>
      <c r="R53" s="266">
        <f>SUM(R51:R52)</f>
        <v>0</v>
      </c>
    </row>
    <row r="54" spans="2:18" ht="24.75" customHeight="1" x14ac:dyDescent="0.25">
      <c r="B54" s="241"/>
      <c r="C54" s="240"/>
      <c r="D54" s="258"/>
      <c r="E54" s="241" t="s">
        <v>174</v>
      </c>
      <c r="F54" s="240"/>
      <c r="G54" s="242"/>
      <c r="H54" s="243">
        <f>R54+L54+J54</f>
        <v>5472466340</v>
      </c>
      <c r="I54" s="243"/>
      <c r="J54" s="189">
        <f>J53+J48</f>
        <v>1817555450</v>
      </c>
      <c r="K54" s="188"/>
      <c r="L54" s="268">
        <f>P54+N54</f>
        <v>3654910890</v>
      </c>
      <c r="M54" s="189"/>
      <c r="N54" s="189">
        <f>N53+N48</f>
        <v>360336089</v>
      </c>
      <c r="O54" s="189"/>
      <c r="P54" s="189">
        <f>P53+P48</f>
        <v>3294574801</v>
      </c>
      <c r="Q54" s="189"/>
      <c r="R54" s="269">
        <f>R53+R48</f>
        <v>0</v>
      </c>
    </row>
    <row r="55" spans="2:18" s="171" customFormat="1" ht="18.75" customHeight="1" x14ac:dyDescent="0.25">
      <c r="B55" s="185" t="s">
        <v>150</v>
      </c>
      <c r="C55" s="213"/>
      <c r="D55" s="186"/>
      <c r="E55" s="186"/>
      <c r="F55" s="186"/>
      <c r="G55" s="188"/>
      <c r="H55" s="270">
        <f>R55+L55+J55</f>
        <v>6449921633</v>
      </c>
      <c r="I55" s="189"/>
      <c r="J55" s="270">
        <v>351960569</v>
      </c>
      <c r="K55" s="188"/>
      <c r="L55" s="193">
        <f>P55+N55</f>
        <v>5715978344</v>
      </c>
      <c r="M55" s="214"/>
      <c r="N55" s="271">
        <v>5715978344</v>
      </c>
      <c r="O55" s="214"/>
      <c r="P55" s="271"/>
      <c r="Q55" s="214"/>
      <c r="R55" s="271">
        <v>381982720</v>
      </c>
    </row>
    <row r="56" spans="2:18" ht="21.75" customHeight="1" thickBot="1" x14ac:dyDescent="0.35">
      <c r="B56" s="239" t="s">
        <v>151</v>
      </c>
      <c r="C56" s="240"/>
      <c r="D56" s="240"/>
      <c r="E56" s="240"/>
      <c r="F56" s="240"/>
      <c r="G56" s="252" t="s">
        <v>132</v>
      </c>
      <c r="H56" s="253">
        <f>+H54+H55</f>
        <v>11922387973</v>
      </c>
      <c r="I56" s="252" t="s">
        <v>25</v>
      </c>
      <c r="J56" s="253">
        <f>+J54+J55</f>
        <v>2169516019</v>
      </c>
      <c r="K56" s="272" t="s">
        <v>25</v>
      </c>
      <c r="L56" s="273">
        <f>P56+N56</f>
        <v>9370889234</v>
      </c>
      <c r="M56" s="252" t="s">
        <v>25</v>
      </c>
      <c r="N56" s="253">
        <f>+N54+N55</f>
        <v>6076314433</v>
      </c>
      <c r="O56" s="252" t="s">
        <v>132</v>
      </c>
      <c r="P56" s="253">
        <f>+P54+P55</f>
        <v>3294574801</v>
      </c>
      <c r="Q56" s="252" t="s">
        <v>25</v>
      </c>
      <c r="R56" s="253">
        <f>+R54+R55</f>
        <v>381982720</v>
      </c>
    </row>
    <row r="57" spans="2:18" ht="6" customHeight="1" thickTop="1" x14ac:dyDescent="0.3">
      <c r="B57" s="225"/>
      <c r="C57" s="274"/>
      <c r="D57" s="225"/>
      <c r="E57" s="225"/>
      <c r="F57" s="225"/>
      <c r="G57" s="275"/>
      <c r="H57" s="276"/>
      <c r="I57" s="243"/>
      <c r="J57" s="276"/>
      <c r="K57" s="275"/>
      <c r="L57" s="276"/>
      <c r="M57" s="243"/>
      <c r="N57" s="276"/>
      <c r="O57" s="243"/>
      <c r="P57" s="276"/>
      <c r="Q57" s="243"/>
      <c r="R57" s="276"/>
    </row>
    <row r="58" spans="2:18" ht="21.75" x14ac:dyDescent="0.3">
      <c r="B58" s="410"/>
      <c r="C58" s="410"/>
      <c r="D58" s="410"/>
      <c r="E58" s="410"/>
      <c r="F58" s="410"/>
      <c r="G58" s="410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</row>
    <row r="59" spans="2:18" ht="2.25" customHeight="1" x14ac:dyDescent="0.25">
      <c r="G59" s="277"/>
      <c r="H59" s="278"/>
      <c r="I59" s="279"/>
      <c r="J59" s="279"/>
      <c r="K59" s="277"/>
      <c r="L59" s="279"/>
      <c r="M59" s="279"/>
      <c r="N59" s="279"/>
      <c r="O59" s="279"/>
      <c r="P59" s="279"/>
      <c r="Q59" s="279"/>
      <c r="R59" s="279"/>
    </row>
    <row r="62" spans="2:18" x14ac:dyDescent="0.25">
      <c r="H62" s="224">
        <f>H36-H56</f>
        <v>0</v>
      </c>
      <c r="J62" s="224">
        <f>J36-J56</f>
        <v>0</v>
      </c>
      <c r="L62" s="224">
        <f>L36-L56</f>
        <v>0</v>
      </c>
      <c r="N62" s="224">
        <f>N36-N56</f>
        <v>0</v>
      </c>
      <c r="P62" s="224">
        <f>P36-P56</f>
        <v>0</v>
      </c>
      <c r="R62" s="224">
        <f>R36-R56</f>
        <v>0</v>
      </c>
    </row>
    <row r="65" spans="10:10" ht="12.75" customHeight="1" x14ac:dyDescent="0.25"/>
    <row r="69" spans="10:10" x14ac:dyDescent="0.25">
      <c r="J69" s="280"/>
    </row>
    <row r="167" spans="8:18" x14ac:dyDescent="0.25">
      <c r="J167" s="224" t="s">
        <v>100</v>
      </c>
      <c r="N167" s="281" t="s">
        <v>100</v>
      </c>
      <c r="O167" s="281" t="s">
        <v>152</v>
      </c>
      <c r="R167" s="281" t="s">
        <v>153</v>
      </c>
    </row>
    <row r="168" spans="8:18" x14ac:dyDescent="0.25">
      <c r="H168" s="282" t="s">
        <v>154</v>
      </c>
      <c r="J168" s="281" t="s">
        <v>155</v>
      </c>
      <c r="L168" s="281" t="s">
        <v>154</v>
      </c>
      <c r="N168" s="281" t="s">
        <v>155</v>
      </c>
      <c r="O168" s="281" t="s">
        <v>156</v>
      </c>
      <c r="R168" s="281" t="s">
        <v>157</v>
      </c>
    </row>
  </sheetData>
  <mergeCells count="3">
    <mergeCell ref="H9:H11"/>
    <mergeCell ref="R9:R11"/>
    <mergeCell ref="B58:R5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4097" r:id="rId3">
          <objectPr defaultSize="0" autoPict="0" r:id="rId4">
            <anchor moveWithCells="1" sizeWithCells="1">
              <from>
                <xdr:col>17</xdr:col>
                <xdr:colOff>876300</xdr:colOff>
                <xdr:row>56</xdr:row>
                <xdr:rowOff>28575</xdr:rowOff>
              </from>
              <to>
                <xdr:col>17</xdr:col>
                <xdr:colOff>1276350</xdr:colOff>
                <xdr:row>59</xdr:row>
                <xdr:rowOff>133350</xdr:rowOff>
              </to>
            </anchor>
          </objectPr>
        </oleObject>
      </mc:Choice>
      <mc:Fallback>
        <oleObject progId="MSDraw" shapeId="4097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8237-D764-43A1-A39F-99F56CF35708}">
  <dimension ref="A1:IU352"/>
  <sheetViews>
    <sheetView tabSelected="1" topLeftCell="B1" zoomScale="50" zoomScaleNormal="50" workbookViewId="0">
      <selection activeCell="L357" sqref="L357"/>
    </sheetView>
  </sheetViews>
  <sheetFormatPr baseColWidth="10" defaultColWidth="15.42578125" defaultRowHeight="26.25" x14ac:dyDescent="0.4"/>
  <cols>
    <col min="1" max="1" width="2.28515625" style="283" hidden="1" customWidth="1"/>
    <col min="2" max="2" width="6.28515625" style="283" customWidth="1"/>
    <col min="3" max="3" width="6.140625" style="283" customWidth="1"/>
    <col min="4" max="4" width="58.7109375" style="283" customWidth="1"/>
    <col min="5" max="5" width="6.140625" style="283" customWidth="1"/>
    <col min="6" max="6" width="37.42578125" style="283" customWidth="1"/>
    <col min="7" max="7" width="5.28515625" style="283" customWidth="1"/>
    <col min="8" max="8" width="24.28515625" style="283" customWidth="1"/>
    <col min="9" max="9" width="5.28515625" style="283" customWidth="1"/>
    <col min="10" max="10" width="30.7109375" style="283" customWidth="1"/>
    <col min="11" max="11" width="5.28515625" style="283" customWidth="1"/>
    <col min="12" max="12" width="26.140625" style="283" customWidth="1"/>
    <col min="13" max="13" width="5.28515625" style="283" customWidth="1"/>
    <col min="14" max="14" width="25.140625" style="283" customWidth="1"/>
    <col min="15" max="15" width="5.28515625" style="283" customWidth="1"/>
    <col min="16" max="16" width="21.7109375" style="283" customWidth="1"/>
    <col min="17" max="17" width="5.28515625" style="283" customWidth="1"/>
    <col min="18" max="18" width="24.5703125" style="283" customWidth="1"/>
    <col min="19" max="19" width="5.28515625" style="283" customWidth="1"/>
    <col min="20" max="20" width="21.7109375" style="283" customWidth="1"/>
    <col min="21" max="21" width="4.7109375" style="283" customWidth="1"/>
    <col min="22" max="22" width="22.7109375" style="283" customWidth="1"/>
    <col min="23" max="23" width="19.5703125" style="283" customWidth="1"/>
    <col min="24" max="24" width="19.7109375" style="283" customWidth="1"/>
    <col min="25" max="25" width="20.7109375" style="283" customWidth="1"/>
    <col min="26" max="16384" width="15.42578125" style="283"/>
  </cols>
  <sheetData>
    <row r="1" spans="1:27" x14ac:dyDescent="0.4">
      <c r="U1" s="284"/>
    </row>
    <row r="2" spans="1:27" ht="33.75" x14ac:dyDescent="0.4">
      <c r="B2" s="285" t="s">
        <v>0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6"/>
      <c r="T2" s="286"/>
      <c r="U2" s="284"/>
    </row>
    <row r="3" spans="1:27" ht="27" x14ac:dyDescent="0.4">
      <c r="B3" s="287" t="s">
        <v>175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6"/>
      <c r="T3" s="286"/>
      <c r="U3" s="288"/>
    </row>
    <row r="4" spans="1:27" ht="27.75" x14ac:dyDescent="0.4">
      <c r="A4" s="289"/>
      <c r="B4" s="290" t="s">
        <v>176</v>
      </c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2"/>
      <c r="U4" s="292"/>
    </row>
    <row r="5" spans="1:27" ht="27.75" x14ac:dyDescent="0.4">
      <c r="A5" s="289"/>
      <c r="B5" s="290" t="s">
        <v>3</v>
      </c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2"/>
      <c r="U5" s="292"/>
    </row>
    <row r="6" spans="1:27" x14ac:dyDescent="0.4"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U6" s="284"/>
    </row>
    <row r="7" spans="1:27" s="284" customFormat="1" ht="25.5" x14ac:dyDescent="0.35">
      <c r="F7" s="294"/>
      <c r="G7" s="295"/>
      <c r="H7" s="294"/>
      <c r="I7" s="295"/>
      <c r="J7" s="294" t="s">
        <v>100</v>
      </c>
      <c r="K7" s="295"/>
      <c r="L7" s="411" t="s">
        <v>177</v>
      </c>
      <c r="M7" s="412"/>
      <c r="N7" s="412"/>
      <c r="O7" s="294"/>
      <c r="P7" s="294"/>
      <c r="Q7" s="295"/>
      <c r="R7" s="294" t="s">
        <v>178</v>
      </c>
      <c r="S7" s="296"/>
      <c r="T7" s="297"/>
    </row>
    <row r="8" spans="1:27" s="284" customFormat="1" ht="25.5" x14ac:dyDescent="0.35">
      <c r="F8" s="298" t="s">
        <v>179</v>
      </c>
      <c r="G8" s="295"/>
      <c r="H8" s="299" t="s">
        <v>105</v>
      </c>
      <c r="I8" s="300"/>
      <c r="J8" s="298" t="s">
        <v>106</v>
      </c>
      <c r="K8" s="295"/>
      <c r="L8" s="413" t="s">
        <v>180</v>
      </c>
      <c r="M8" s="414"/>
      <c r="N8" s="414"/>
      <c r="O8" s="414"/>
      <c r="P8" s="414"/>
      <c r="Q8" s="295"/>
      <c r="R8" s="301" t="s">
        <v>181</v>
      </c>
      <c r="S8" s="296"/>
      <c r="T8" s="294" t="s">
        <v>182</v>
      </c>
    </row>
    <row r="9" spans="1:27" s="284" customFormat="1" ht="25.5" x14ac:dyDescent="0.35">
      <c r="F9" s="294"/>
      <c r="G9" s="295"/>
      <c r="H9" s="294"/>
      <c r="I9" s="300"/>
      <c r="J9" s="294"/>
      <c r="K9" s="295"/>
      <c r="L9" s="294" t="s">
        <v>183</v>
      </c>
      <c r="M9" s="302"/>
      <c r="N9" s="294" t="s">
        <v>184</v>
      </c>
      <c r="O9" s="302"/>
      <c r="P9" s="294"/>
      <c r="Q9" s="295"/>
      <c r="R9" s="303"/>
      <c r="T9" s="304" t="s">
        <v>157</v>
      </c>
    </row>
    <row r="10" spans="1:27" s="284" customFormat="1" ht="25.5" x14ac:dyDescent="0.35">
      <c r="L10" s="305" t="s">
        <v>185</v>
      </c>
      <c r="M10" s="306"/>
      <c r="N10" s="307" t="s">
        <v>186</v>
      </c>
      <c r="O10" s="306"/>
      <c r="P10" s="298" t="s">
        <v>187</v>
      </c>
      <c r="R10" s="308"/>
      <c r="T10" s="298" t="s">
        <v>187</v>
      </c>
    </row>
    <row r="11" spans="1:27" s="284" customFormat="1" ht="25.5" x14ac:dyDescent="0.35"/>
    <row r="12" spans="1:27" s="284" customFormat="1" ht="25.5" x14ac:dyDescent="0.35">
      <c r="B12" s="309" t="s">
        <v>188</v>
      </c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</row>
    <row r="13" spans="1:27" s="284" customFormat="1" ht="25.5" x14ac:dyDescent="0.35">
      <c r="B13" s="310" t="s">
        <v>189</v>
      </c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</row>
    <row r="14" spans="1:27" s="284" customFormat="1" ht="25.5" x14ac:dyDescent="0.35">
      <c r="B14" s="311" t="s">
        <v>190</v>
      </c>
      <c r="C14" s="295"/>
      <c r="D14" s="295"/>
      <c r="E14" s="312" t="s">
        <v>25</v>
      </c>
      <c r="F14" s="313">
        <f>+H14+J14+L14+N14+R14+P14+T14</f>
        <v>2881476628</v>
      </c>
      <c r="G14" s="314" t="s">
        <v>25</v>
      </c>
      <c r="H14" s="313"/>
      <c r="I14" s="314" t="s">
        <v>25</v>
      </c>
      <c r="J14" s="313">
        <v>1190270673</v>
      </c>
      <c r="K14" s="314" t="s">
        <v>25</v>
      </c>
      <c r="L14" s="313">
        <v>1259391490</v>
      </c>
      <c r="M14" s="314" t="s">
        <v>25</v>
      </c>
      <c r="N14" s="313">
        <v>431814465</v>
      </c>
      <c r="O14" s="314" t="s">
        <v>25</v>
      </c>
      <c r="P14" s="315"/>
      <c r="Q14" s="314" t="s">
        <v>25</v>
      </c>
      <c r="R14" s="315"/>
      <c r="S14" s="314" t="s">
        <v>25</v>
      </c>
      <c r="T14" s="315"/>
      <c r="V14" s="316"/>
      <c r="W14" s="316"/>
      <c r="X14" s="316"/>
      <c r="Y14" s="316"/>
      <c r="Z14" s="316"/>
    </row>
    <row r="15" spans="1:27" s="284" customFormat="1" ht="25.5" x14ac:dyDescent="0.35">
      <c r="B15" s="311" t="s">
        <v>191</v>
      </c>
      <c r="C15" s="295"/>
      <c r="D15" s="295"/>
      <c r="E15" s="317"/>
      <c r="F15" s="313">
        <f t="shared" ref="F15:F20" si="0">+H15+J15+L15+N15+R15+P15+T15</f>
        <v>165272706</v>
      </c>
      <c r="G15" s="317"/>
      <c r="H15" s="315"/>
      <c r="I15" s="318"/>
      <c r="J15" s="313">
        <v>165272706</v>
      </c>
      <c r="K15" s="314"/>
      <c r="L15" s="313"/>
      <c r="M15" s="319"/>
      <c r="N15" s="315"/>
      <c r="O15" s="313"/>
      <c r="P15" s="315"/>
      <c r="Q15" s="318"/>
      <c r="R15" s="315"/>
      <c r="S15" s="320"/>
      <c r="T15" s="315"/>
      <c r="V15" s="316"/>
      <c r="W15" s="316"/>
      <c r="X15" s="316"/>
      <c r="Y15" s="316"/>
      <c r="Z15" s="316"/>
      <c r="AA15" s="316"/>
    </row>
    <row r="16" spans="1:27" s="284" customFormat="1" ht="25.5" x14ac:dyDescent="0.35">
      <c r="B16" s="311" t="s">
        <v>192</v>
      </c>
      <c r="C16" s="295"/>
      <c r="D16" s="295"/>
      <c r="E16" s="317"/>
      <c r="F16" s="313">
        <f t="shared" si="0"/>
        <v>2196863</v>
      </c>
      <c r="G16" s="317"/>
      <c r="H16" s="315"/>
      <c r="I16" s="318"/>
      <c r="J16" s="313">
        <v>951348</v>
      </c>
      <c r="K16" s="314"/>
      <c r="L16" s="313">
        <v>700685</v>
      </c>
      <c r="M16" s="314"/>
      <c r="N16" s="313">
        <v>544830</v>
      </c>
      <c r="O16" s="313"/>
      <c r="P16" s="315"/>
      <c r="Q16" s="318"/>
      <c r="R16" s="315"/>
      <c r="S16" s="320"/>
      <c r="T16" s="315"/>
      <c r="V16" s="316"/>
    </row>
    <row r="17" spans="2:25" s="284" customFormat="1" ht="25.5" x14ac:dyDescent="0.35">
      <c r="B17" s="311" t="s">
        <v>193</v>
      </c>
      <c r="C17" s="295"/>
      <c r="D17" s="295"/>
      <c r="E17" s="317"/>
      <c r="F17" s="313">
        <f t="shared" si="0"/>
        <v>4850356</v>
      </c>
      <c r="G17" s="317"/>
      <c r="H17" s="315"/>
      <c r="I17" s="318"/>
      <c r="J17" s="315"/>
      <c r="K17" s="314"/>
      <c r="L17" s="313">
        <v>2111343</v>
      </c>
      <c r="M17" s="314"/>
      <c r="N17" s="313">
        <v>2739013</v>
      </c>
      <c r="O17" s="313"/>
      <c r="P17" s="315"/>
      <c r="Q17" s="318"/>
      <c r="R17" s="315"/>
      <c r="S17" s="320"/>
      <c r="T17" s="315"/>
      <c r="V17" s="316"/>
      <c r="W17" s="316"/>
      <c r="X17" s="316"/>
    </row>
    <row r="18" spans="2:25" s="284" customFormat="1" ht="25.5" hidden="1" x14ac:dyDescent="0.35">
      <c r="B18" s="311" t="s">
        <v>194</v>
      </c>
      <c r="C18" s="295"/>
      <c r="D18" s="295"/>
      <c r="E18" s="317"/>
      <c r="F18" s="313">
        <f t="shared" si="0"/>
        <v>0</v>
      </c>
      <c r="G18" s="317"/>
      <c r="H18" s="315"/>
      <c r="I18" s="318"/>
      <c r="J18" s="315"/>
      <c r="K18" s="314"/>
      <c r="L18" s="315"/>
      <c r="M18" s="314"/>
      <c r="N18" s="313"/>
      <c r="O18" s="313"/>
      <c r="P18" s="315"/>
      <c r="Q18" s="318"/>
      <c r="R18" s="315"/>
      <c r="S18" s="320"/>
      <c r="T18" s="315"/>
      <c r="V18" s="321"/>
      <c r="W18" s="316"/>
      <c r="X18" s="316"/>
    </row>
    <row r="19" spans="2:25" s="284" customFormat="1" ht="25.5" x14ac:dyDescent="0.35">
      <c r="B19" s="311" t="s">
        <v>195</v>
      </c>
      <c r="C19" s="295"/>
      <c r="D19" s="295"/>
      <c r="E19" s="317"/>
      <c r="F19" s="313">
        <f>+H19+J19+L19+N19+R19+P19+T19</f>
        <v>154843050</v>
      </c>
      <c r="G19" s="317"/>
      <c r="H19" s="315"/>
      <c r="I19" s="318"/>
      <c r="J19" s="322"/>
      <c r="K19" s="314"/>
      <c r="L19" s="313">
        <v>78961521</v>
      </c>
      <c r="M19" s="314"/>
      <c r="N19" s="313">
        <v>75881529</v>
      </c>
      <c r="O19" s="313"/>
      <c r="P19" s="315"/>
      <c r="Q19" s="318"/>
      <c r="R19" s="315"/>
      <c r="S19" s="320"/>
      <c r="T19" s="315"/>
      <c r="V19" s="316"/>
      <c r="W19" s="316"/>
    </row>
    <row r="20" spans="2:25" s="284" customFormat="1" ht="25.5" x14ac:dyDescent="0.35">
      <c r="B20" s="323" t="s">
        <v>196</v>
      </c>
      <c r="C20" s="295"/>
      <c r="D20" s="295"/>
      <c r="E20" s="317"/>
      <c r="F20" s="313">
        <f t="shared" si="0"/>
        <v>96975</v>
      </c>
      <c r="G20" s="317"/>
      <c r="H20" s="315"/>
      <c r="I20" s="318"/>
      <c r="J20" s="313">
        <v>96975</v>
      </c>
      <c r="K20" s="314"/>
      <c r="L20" s="313"/>
      <c r="M20" s="314"/>
      <c r="N20" s="313"/>
      <c r="O20" s="313"/>
      <c r="P20" s="315"/>
      <c r="Q20" s="318"/>
      <c r="R20" s="315"/>
      <c r="S20" s="320"/>
      <c r="T20" s="315"/>
      <c r="V20" s="316"/>
    </row>
    <row r="21" spans="2:25" s="284" customFormat="1" ht="8.1" customHeight="1" x14ac:dyDescent="0.35">
      <c r="B21" s="324"/>
      <c r="C21" s="295"/>
      <c r="D21" s="295"/>
      <c r="E21" s="317"/>
      <c r="F21" s="325"/>
      <c r="G21" s="317"/>
      <c r="H21" s="325"/>
      <c r="I21" s="318"/>
      <c r="J21" s="325"/>
      <c r="K21" s="318"/>
      <c r="L21" s="325"/>
      <c r="M21" s="318"/>
      <c r="N21" s="325"/>
      <c r="O21" s="318"/>
      <c r="P21" s="325"/>
      <c r="Q21" s="318"/>
      <c r="R21" s="325"/>
      <c r="S21" s="320"/>
      <c r="T21" s="325"/>
    </row>
    <row r="22" spans="2:25" s="284" customFormat="1" ht="25.5" x14ac:dyDescent="0.35">
      <c r="B22" s="295"/>
      <c r="C22" s="326"/>
      <c r="D22" s="295"/>
      <c r="E22" s="317"/>
      <c r="F22" s="327">
        <f>SUM(F14:F21)</f>
        <v>3208736578</v>
      </c>
      <c r="G22" s="317"/>
      <c r="H22" s="328">
        <f>SUM(H14:H21)</f>
        <v>0</v>
      </c>
      <c r="I22" s="318"/>
      <c r="J22" s="327">
        <f>SUM(J14:J21)</f>
        <v>1356591702</v>
      </c>
      <c r="K22" s="318"/>
      <c r="L22" s="327">
        <f>SUM(L14:L21)</f>
        <v>1341165039</v>
      </c>
      <c r="M22" s="327"/>
      <c r="N22" s="327">
        <f>SUM(N14:N21)</f>
        <v>510979837</v>
      </c>
      <c r="O22" s="327"/>
      <c r="P22" s="328">
        <f>SUM(P14:P21)</f>
        <v>0</v>
      </c>
      <c r="Q22" s="318"/>
      <c r="R22" s="328">
        <f>SUM(R14:R21)</f>
        <v>0</v>
      </c>
      <c r="S22" s="320"/>
      <c r="T22" s="328"/>
    </row>
    <row r="23" spans="2:25" s="284" customFormat="1" ht="25.5" x14ac:dyDescent="0.35">
      <c r="B23" s="295"/>
      <c r="C23" s="295"/>
      <c r="D23" s="295"/>
      <c r="E23" s="317"/>
      <c r="F23" s="318"/>
      <c r="G23" s="317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20"/>
    </row>
    <row r="24" spans="2:25" s="284" customFormat="1" ht="25.5" x14ac:dyDescent="0.35">
      <c r="B24" s="329" t="s">
        <v>197</v>
      </c>
      <c r="C24" s="295"/>
      <c r="D24" s="295"/>
      <c r="E24" s="317"/>
      <c r="F24" s="313">
        <f>+H24+J24+L24+N24+R24+P24+T24</f>
        <v>280988835</v>
      </c>
      <c r="G24" s="317"/>
      <c r="H24" s="315"/>
      <c r="I24" s="330"/>
      <c r="J24" s="315"/>
      <c r="K24" s="330"/>
      <c r="L24" s="315"/>
      <c r="M24" s="315"/>
      <c r="N24" s="315"/>
      <c r="O24" s="315"/>
      <c r="P24" s="315"/>
      <c r="Q24" s="318"/>
      <c r="R24" s="313">
        <v>280988835</v>
      </c>
      <c r="S24" s="320"/>
      <c r="T24" s="315"/>
      <c r="V24" s="316"/>
      <c r="W24" s="316"/>
      <c r="X24" s="316"/>
      <c r="Y24" s="316"/>
    </row>
    <row r="25" spans="2:25" s="284" customFormat="1" ht="12" customHeight="1" x14ac:dyDescent="0.35">
      <c r="B25" s="295"/>
      <c r="C25" s="295"/>
      <c r="D25" s="295"/>
      <c r="E25" s="317"/>
      <c r="F25" s="325"/>
      <c r="G25" s="317"/>
      <c r="H25" s="325"/>
      <c r="I25" s="318"/>
      <c r="J25" s="325"/>
      <c r="K25" s="318"/>
      <c r="L25" s="325"/>
      <c r="M25" s="318"/>
      <c r="N25" s="325"/>
      <c r="O25" s="318"/>
      <c r="P25" s="325"/>
      <c r="Q25" s="318"/>
      <c r="R25" s="325"/>
      <c r="S25" s="320"/>
      <c r="T25" s="325"/>
    </row>
    <row r="26" spans="2:25" s="284" customFormat="1" ht="25.5" x14ac:dyDescent="0.35">
      <c r="B26" s="331" t="s">
        <v>198</v>
      </c>
      <c r="C26" s="295"/>
      <c r="D26" s="295"/>
      <c r="E26" s="317"/>
      <c r="F26" s="327">
        <f>+F22+F24</f>
        <v>3489725413</v>
      </c>
      <c r="G26" s="318"/>
      <c r="H26" s="328">
        <f>+H22+H24</f>
        <v>0</v>
      </c>
      <c r="I26" s="318"/>
      <c r="J26" s="327">
        <f>+J22+J24</f>
        <v>1356591702</v>
      </c>
      <c r="K26" s="318"/>
      <c r="L26" s="327">
        <f>+L22+L24</f>
        <v>1341165039</v>
      </c>
      <c r="M26" s="327"/>
      <c r="N26" s="327">
        <f>+N22+N24</f>
        <v>510979837</v>
      </c>
      <c r="O26" s="327"/>
      <c r="P26" s="328">
        <f>+P22+P24</f>
        <v>0</v>
      </c>
      <c r="Q26" s="318"/>
      <c r="R26" s="327">
        <f>+R22+R24</f>
        <v>280988835</v>
      </c>
      <c r="S26" s="320"/>
      <c r="T26" s="328">
        <f>+T22+T24</f>
        <v>0</v>
      </c>
    </row>
    <row r="27" spans="2:25" s="284" customFormat="1" ht="24.95" customHeight="1" x14ac:dyDescent="0.35">
      <c r="B27" s="295"/>
      <c r="C27" s="295"/>
      <c r="D27" s="295"/>
      <c r="E27" s="317"/>
      <c r="F27" s="318"/>
      <c r="G27" s="317"/>
      <c r="H27" s="318"/>
      <c r="I27" s="318"/>
      <c r="J27" s="318"/>
      <c r="K27" s="318"/>
      <c r="L27" s="318"/>
      <c r="M27" s="318"/>
      <c r="N27" s="318"/>
      <c r="O27" s="318"/>
      <c r="P27" s="318"/>
      <c r="Q27" s="318"/>
      <c r="R27" s="318"/>
      <c r="S27" s="320"/>
    </row>
    <row r="28" spans="2:25" s="284" customFormat="1" ht="25.5" x14ac:dyDescent="0.35">
      <c r="B28" s="332" t="s">
        <v>199</v>
      </c>
      <c r="C28" s="333"/>
      <c r="D28" s="295"/>
      <c r="E28" s="317"/>
      <c r="F28" s="318"/>
      <c r="G28" s="317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  <c r="S28" s="320"/>
    </row>
    <row r="29" spans="2:25" s="284" customFormat="1" ht="25.5" x14ac:dyDescent="0.35">
      <c r="B29" s="310" t="s">
        <v>200</v>
      </c>
      <c r="D29" s="295"/>
      <c r="E29" s="317"/>
      <c r="F29" s="318"/>
      <c r="G29" s="317"/>
      <c r="H29" s="318"/>
      <c r="I29" s="318"/>
      <c r="J29" s="318"/>
      <c r="K29" s="318"/>
      <c r="L29" s="318"/>
      <c r="M29" s="318"/>
      <c r="N29" s="318"/>
      <c r="O29" s="318"/>
      <c r="P29" s="318"/>
      <c r="Q29" s="318"/>
      <c r="R29" s="318"/>
      <c r="S29" s="318"/>
    </row>
    <row r="30" spans="2:25" s="284" customFormat="1" ht="25.5" x14ac:dyDescent="0.35">
      <c r="B30" s="311" t="s">
        <v>201</v>
      </c>
      <c r="C30" s="295"/>
      <c r="D30" s="295"/>
      <c r="E30" s="317"/>
      <c r="F30" s="313">
        <f>+H30+J30+L30+N30+R30+P30+T30</f>
        <v>1486980483</v>
      </c>
      <c r="G30" s="317"/>
      <c r="H30" s="313">
        <v>481353</v>
      </c>
      <c r="I30" s="318"/>
      <c r="J30" s="315"/>
      <c r="K30" s="318"/>
      <c r="L30" s="313">
        <v>1486499130</v>
      </c>
      <c r="M30" s="313"/>
      <c r="N30" s="313"/>
      <c r="O30" s="313"/>
      <c r="P30" s="315"/>
      <c r="Q30" s="318"/>
      <c r="R30" s="315"/>
      <c r="S30" s="318"/>
      <c r="T30" s="315"/>
      <c r="V30" s="316"/>
    </row>
    <row r="31" spans="2:25" s="284" customFormat="1" ht="25.5" x14ac:dyDescent="0.35">
      <c r="B31" s="323" t="s">
        <v>202</v>
      </c>
      <c r="C31" s="295"/>
      <c r="D31" s="295"/>
      <c r="E31" s="317"/>
      <c r="F31" s="313">
        <f t="shared" ref="F31:F41" si="1">+H31+J31+L31+N31+R31+P31+T31</f>
        <v>156852</v>
      </c>
      <c r="G31" s="317"/>
      <c r="H31" s="315"/>
      <c r="I31" s="318"/>
      <c r="J31" s="315"/>
      <c r="K31" s="318"/>
      <c r="L31" s="315"/>
      <c r="M31" s="313"/>
      <c r="N31" s="313"/>
      <c r="O31" s="313"/>
      <c r="P31" s="313">
        <v>156852</v>
      </c>
      <c r="Q31" s="318"/>
      <c r="R31" s="315"/>
      <c r="S31" s="318"/>
      <c r="T31" s="315"/>
      <c r="V31" s="316"/>
    </row>
    <row r="32" spans="2:25" s="284" customFormat="1" ht="25.5" x14ac:dyDescent="0.35">
      <c r="B32" s="323" t="s">
        <v>203</v>
      </c>
      <c r="C32" s="295"/>
      <c r="D32" s="295"/>
      <c r="E32" s="317"/>
      <c r="F32" s="313">
        <f t="shared" si="1"/>
        <v>900005</v>
      </c>
      <c r="G32" s="317"/>
      <c r="H32" s="315"/>
      <c r="I32" s="318"/>
      <c r="J32" s="315"/>
      <c r="K32" s="318"/>
      <c r="L32" s="315"/>
      <c r="M32" s="313"/>
      <c r="N32" s="313"/>
      <c r="O32" s="313"/>
      <c r="P32" s="313">
        <v>900005</v>
      </c>
      <c r="Q32" s="318"/>
      <c r="R32" s="315"/>
      <c r="S32" s="318"/>
      <c r="T32" s="315"/>
      <c r="V32" s="316"/>
    </row>
    <row r="33" spans="2:22" s="284" customFormat="1" ht="25.5" x14ac:dyDescent="0.35">
      <c r="B33" s="323" t="s">
        <v>204</v>
      </c>
      <c r="C33" s="295"/>
      <c r="D33" s="295"/>
      <c r="E33" s="317"/>
      <c r="F33" s="313">
        <f t="shared" si="1"/>
        <v>1822142</v>
      </c>
      <c r="G33" s="317"/>
      <c r="H33" s="315"/>
      <c r="I33" s="318"/>
      <c r="J33" s="315"/>
      <c r="K33" s="318"/>
      <c r="L33" s="315"/>
      <c r="M33" s="313"/>
      <c r="N33" s="313"/>
      <c r="O33" s="313"/>
      <c r="P33" s="313">
        <v>1822142</v>
      </c>
      <c r="Q33" s="318"/>
      <c r="R33" s="315"/>
      <c r="S33" s="318"/>
      <c r="T33" s="315"/>
      <c r="V33" s="316"/>
    </row>
    <row r="34" spans="2:22" s="284" customFormat="1" ht="25.5" x14ac:dyDescent="0.35">
      <c r="B34" s="311" t="s">
        <v>205</v>
      </c>
      <c r="C34" s="295"/>
      <c r="D34" s="295"/>
      <c r="E34" s="317"/>
      <c r="F34" s="313">
        <f t="shared" si="1"/>
        <v>11122970</v>
      </c>
      <c r="G34" s="317"/>
      <c r="H34" s="315"/>
      <c r="I34" s="318"/>
      <c r="J34" s="315"/>
      <c r="K34" s="318"/>
      <c r="L34" s="313">
        <v>11122812</v>
      </c>
      <c r="M34" s="313"/>
      <c r="N34" s="313">
        <v>158</v>
      </c>
      <c r="O34" s="313"/>
      <c r="P34" s="315"/>
      <c r="Q34" s="318"/>
      <c r="R34" s="315"/>
      <c r="S34" s="318"/>
      <c r="T34" s="315"/>
      <c r="V34" s="316"/>
    </row>
    <row r="35" spans="2:22" s="284" customFormat="1" ht="25.5" x14ac:dyDescent="0.35">
      <c r="B35" s="323" t="s">
        <v>206</v>
      </c>
      <c r="C35" s="295"/>
      <c r="D35" s="295"/>
      <c r="E35" s="317"/>
      <c r="F35" s="313">
        <f>+H35+J35+L35+N35+R35+P35+T35</f>
        <v>11396820</v>
      </c>
      <c r="G35" s="317"/>
      <c r="H35" s="315"/>
      <c r="I35" s="318"/>
      <c r="J35" s="315"/>
      <c r="K35" s="318"/>
      <c r="L35" s="313">
        <v>11396640</v>
      </c>
      <c r="M35" s="313"/>
      <c r="N35" s="313">
        <v>180</v>
      </c>
      <c r="O35" s="313"/>
      <c r="P35" s="315"/>
      <c r="Q35" s="318"/>
      <c r="R35" s="315"/>
      <c r="S35" s="318"/>
      <c r="T35" s="315"/>
      <c r="V35" s="316"/>
    </row>
    <row r="36" spans="2:22" s="284" customFormat="1" ht="25.5" x14ac:dyDescent="0.35">
      <c r="B36" s="311" t="s">
        <v>207</v>
      </c>
      <c r="C36" s="295"/>
      <c r="D36" s="295"/>
      <c r="E36" s="317"/>
      <c r="F36" s="313">
        <f t="shared" si="1"/>
        <v>40449313</v>
      </c>
      <c r="G36" s="317"/>
      <c r="H36" s="315"/>
      <c r="I36" s="318"/>
      <c r="J36" s="315"/>
      <c r="K36" s="318"/>
      <c r="L36" s="313">
        <v>40449313</v>
      </c>
      <c r="M36" s="313"/>
      <c r="N36" s="313"/>
      <c r="O36" s="313"/>
      <c r="P36" s="315"/>
      <c r="Q36" s="318"/>
      <c r="R36" s="315"/>
      <c r="S36" s="318"/>
      <c r="T36" s="315"/>
      <c r="V36" s="316"/>
    </row>
    <row r="37" spans="2:22" s="284" customFormat="1" ht="25.5" x14ac:dyDescent="0.35">
      <c r="B37" s="323" t="s">
        <v>208</v>
      </c>
      <c r="C37" s="295"/>
      <c r="D37" s="295"/>
      <c r="E37" s="317"/>
      <c r="F37" s="313">
        <f t="shared" si="1"/>
        <v>287304</v>
      </c>
      <c r="G37" s="317"/>
      <c r="H37" s="315"/>
      <c r="I37" s="318"/>
      <c r="J37" s="315"/>
      <c r="K37" s="318"/>
      <c r="L37" s="315"/>
      <c r="M37" s="313"/>
      <c r="N37" s="313"/>
      <c r="O37" s="313"/>
      <c r="P37" s="313">
        <v>287304</v>
      </c>
      <c r="Q37" s="318"/>
      <c r="R37" s="315"/>
      <c r="S37" s="318"/>
      <c r="T37" s="315"/>
      <c r="V37" s="316"/>
    </row>
    <row r="38" spans="2:22" s="284" customFormat="1" ht="25.5" x14ac:dyDescent="0.35">
      <c r="B38" s="323" t="s">
        <v>209</v>
      </c>
      <c r="C38" s="295"/>
      <c r="D38" s="295"/>
      <c r="E38" s="317"/>
      <c r="F38" s="313">
        <f t="shared" si="1"/>
        <v>1658799</v>
      </c>
      <c r="G38" s="317"/>
      <c r="H38" s="315"/>
      <c r="I38" s="318"/>
      <c r="J38" s="315"/>
      <c r="K38" s="318"/>
      <c r="L38" s="315"/>
      <c r="M38" s="313"/>
      <c r="N38" s="313"/>
      <c r="O38" s="313"/>
      <c r="P38" s="313">
        <v>1658799</v>
      </c>
      <c r="Q38" s="318"/>
      <c r="R38" s="315"/>
      <c r="S38" s="318"/>
      <c r="T38" s="315"/>
      <c r="V38" s="316"/>
    </row>
    <row r="39" spans="2:22" s="284" customFormat="1" ht="25.5" x14ac:dyDescent="0.35">
      <c r="B39" s="323" t="s">
        <v>210</v>
      </c>
      <c r="C39" s="295"/>
      <c r="D39" s="295"/>
      <c r="E39" s="317"/>
      <c r="F39" s="313">
        <f t="shared" si="1"/>
        <v>1010188</v>
      </c>
      <c r="G39" s="317"/>
      <c r="H39" s="315"/>
      <c r="I39" s="318"/>
      <c r="J39" s="315"/>
      <c r="K39" s="318"/>
      <c r="L39" s="315"/>
      <c r="M39" s="313"/>
      <c r="N39" s="313"/>
      <c r="O39" s="313"/>
      <c r="P39" s="313">
        <v>1010188</v>
      </c>
      <c r="Q39" s="318"/>
      <c r="R39" s="315"/>
      <c r="S39" s="318"/>
      <c r="T39" s="315"/>
      <c r="V39" s="316"/>
    </row>
    <row r="40" spans="2:22" s="284" customFormat="1" ht="25.5" x14ac:dyDescent="0.35">
      <c r="B40" s="323" t="s">
        <v>211</v>
      </c>
      <c r="C40" s="295"/>
      <c r="D40" s="295"/>
      <c r="E40" s="317"/>
      <c r="F40" s="313">
        <f t="shared" si="1"/>
        <v>3188035</v>
      </c>
      <c r="G40" s="317"/>
      <c r="H40" s="315"/>
      <c r="I40" s="318"/>
      <c r="J40" s="315"/>
      <c r="K40" s="318"/>
      <c r="L40" s="313">
        <v>3188035</v>
      </c>
      <c r="M40" s="313"/>
      <c r="N40" s="313"/>
      <c r="O40" s="313"/>
      <c r="P40" s="315"/>
      <c r="Q40" s="318"/>
      <c r="R40" s="315"/>
      <c r="S40" s="318"/>
      <c r="T40" s="315"/>
      <c r="V40" s="316"/>
    </row>
    <row r="41" spans="2:22" s="284" customFormat="1" ht="25.5" x14ac:dyDescent="0.35">
      <c r="B41" s="311" t="s">
        <v>212</v>
      </c>
      <c r="C41" s="295"/>
      <c r="D41" s="295"/>
      <c r="E41" s="317"/>
      <c r="F41" s="313">
        <f t="shared" si="1"/>
        <v>3692555</v>
      </c>
      <c r="G41" s="317"/>
      <c r="H41" s="315"/>
      <c r="I41" s="318"/>
      <c r="J41" s="315"/>
      <c r="K41" s="318"/>
      <c r="L41" s="313">
        <v>3692555</v>
      </c>
      <c r="M41" s="313"/>
      <c r="N41" s="313"/>
      <c r="O41" s="313"/>
      <c r="P41" s="315"/>
      <c r="Q41" s="318"/>
      <c r="R41" s="315"/>
      <c r="S41" s="318"/>
      <c r="T41" s="315"/>
      <c r="V41" s="316"/>
    </row>
    <row r="42" spans="2:22" s="284" customFormat="1" ht="25.5" x14ac:dyDescent="0.35">
      <c r="B42" s="311" t="s">
        <v>213</v>
      </c>
      <c r="C42" s="295"/>
      <c r="D42" s="295"/>
      <c r="E42" s="317"/>
      <c r="F42" s="313">
        <f>+H42+J42+L42+N42+R42+P42+T42</f>
        <v>84163362.180000007</v>
      </c>
      <c r="G42" s="317"/>
      <c r="H42" s="315"/>
      <c r="I42" s="318"/>
      <c r="J42" s="315"/>
      <c r="K42" s="318"/>
      <c r="L42" s="313">
        <v>82696292</v>
      </c>
      <c r="M42" s="313"/>
      <c r="N42" s="313">
        <v>1467070.18</v>
      </c>
      <c r="O42" s="313"/>
      <c r="P42" s="315"/>
      <c r="Q42" s="318"/>
      <c r="R42" s="315"/>
      <c r="S42" s="318"/>
      <c r="T42" s="315"/>
      <c r="V42" s="316"/>
    </row>
    <row r="43" spans="2:22" s="284" customFormat="1" ht="25.5" x14ac:dyDescent="0.35">
      <c r="B43" s="323" t="s">
        <v>214</v>
      </c>
      <c r="C43" s="295"/>
      <c r="D43" s="295"/>
      <c r="E43" s="317"/>
      <c r="F43" s="313">
        <f t="shared" ref="F43:F96" si="2">+H43+J43+L43+N43+R43+P43+T43</f>
        <v>109455</v>
      </c>
      <c r="G43" s="317"/>
      <c r="H43" s="315"/>
      <c r="I43" s="318"/>
      <c r="J43" s="315"/>
      <c r="K43" s="318"/>
      <c r="L43" s="315"/>
      <c r="M43" s="313"/>
      <c r="N43" s="313"/>
      <c r="O43" s="313"/>
      <c r="P43" s="313">
        <v>109455</v>
      </c>
      <c r="Q43" s="318"/>
      <c r="R43" s="315"/>
      <c r="S43" s="318"/>
      <c r="T43" s="315"/>
      <c r="V43" s="316"/>
    </row>
    <row r="44" spans="2:22" s="284" customFormat="1" ht="25.5" x14ac:dyDescent="0.35">
      <c r="B44" s="323" t="s">
        <v>215</v>
      </c>
      <c r="C44" s="295"/>
      <c r="D44" s="295"/>
      <c r="E44" s="317"/>
      <c r="F44" s="313">
        <f t="shared" si="2"/>
        <v>450856</v>
      </c>
      <c r="G44" s="317"/>
      <c r="H44" s="315"/>
      <c r="I44" s="318"/>
      <c r="J44" s="315"/>
      <c r="K44" s="318"/>
      <c r="L44" s="315"/>
      <c r="M44" s="313"/>
      <c r="N44" s="313"/>
      <c r="O44" s="313"/>
      <c r="P44" s="313">
        <v>450856</v>
      </c>
      <c r="Q44" s="318"/>
      <c r="R44" s="315"/>
      <c r="S44" s="318"/>
      <c r="T44" s="315"/>
      <c r="V44" s="316"/>
    </row>
    <row r="45" spans="2:22" s="284" customFormat="1" ht="25.5" x14ac:dyDescent="0.35">
      <c r="B45" s="323" t="s">
        <v>216</v>
      </c>
      <c r="C45" s="295"/>
      <c r="D45" s="295"/>
      <c r="E45" s="317"/>
      <c r="F45" s="313">
        <f t="shared" si="2"/>
        <v>1071236</v>
      </c>
      <c r="G45" s="317"/>
      <c r="H45" s="315"/>
      <c r="I45" s="318"/>
      <c r="J45" s="315"/>
      <c r="K45" s="318"/>
      <c r="L45" s="315"/>
      <c r="M45" s="313"/>
      <c r="N45" s="313"/>
      <c r="O45" s="313"/>
      <c r="P45" s="313">
        <v>1071236</v>
      </c>
      <c r="Q45" s="318"/>
      <c r="R45" s="315"/>
      <c r="S45" s="318"/>
      <c r="T45" s="315"/>
      <c r="V45" s="316"/>
    </row>
    <row r="46" spans="2:22" s="284" customFormat="1" ht="25.5" x14ac:dyDescent="0.35">
      <c r="B46" s="323" t="s">
        <v>217</v>
      </c>
      <c r="C46" s="295"/>
      <c r="D46" s="295"/>
      <c r="E46" s="317"/>
      <c r="F46" s="313">
        <f t="shared" si="2"/>
        <v>1064700</v>
      </c>
      <c r="G46" s="317"/>
      <c r="H46" s="315"/>
      <c r="I46" s="318"/>
      <c r="J46" s="315"/>
      <c r="K46" s="318"/>
      <c r="L46" s="313">
        <v>1039200</v>
      </c>
      <c r="M46" s="313"/>
      <c r="N46" s="313">
        <v>25500</v>
      </c>
      <c r="O46" s="313"/>
      <c r="P46" s="315"/>
      <c r="Q46" s="318"/>
      <c r="R46" s="315"/>
      <c r="S46" s="318"/>
      <c r="T46" s="315"/>
      <c r="V46" s="316"/>
    </row>
    <row r="47" spans="2:22" s="284" customFormat="1" ht="25.5" x14ac:dyDescent="0.35">
      <c r="B47" s="311" t="s">
        <v>218</v>
      </c>
      <c r="C47" s="295"/>
      <c r="D47" s="295"/>
      <c r="E47" s="317"/>
      <c r="F47" s="313">
        <f>+H47+J47+L47+N47+R47+P47+T47</f>
        <v>1106160</v>
      </c>
      <c r="G47" s="317"/>
      <c r="H47" s="315"/>
      <c r="I47" s="318"/>
      <c r="J47" s="315"/>
      <c r="K47" s="318"/>
      <c r="L47" s="313">
        <v>1105920</v>
      </c>
      <c r="M47" s="313"/>
      <c r="N47" s="313">
        <v>240</v>
      </c>
      <c r="O47" s="313"/>
      <c r="P47" s="315"/>
      <c r="Q47" s="318"/>
      <c r="R47" s="315"/>
      <c r="S47" s="318"/>
      <c r="T47" s="315"/>
      <c r="V47" s="316"/>
    </row>
    <row r="48" spans="2:22" s="284" customFormat="1" ht="25.5" hidden="1" x14ac:dyDescent="0.35">
      <c r="B48" s="323" t="s">
        <v>219</v>
      </c>
      <c r="C48" s="295"/>
      <c r="D48" s="295"/>
      <c r="E48" s="317"/>
      <c r="F48" s="313">
        <f>+H48+J48+L48+N48+R48+P48+T48</f>
        <v>0</v>
      </c>
      <c r="G48" s="317"/>
      <c r="H48" s="315"/>
      <c r="I48" s="318"/>
      <c r="J48" s="315"/>
      <c r="K48" s="318"/>
      <c r="L48" s="313"/>
      <c r="M48" s="313"/>
      <c r="N48" s="313"/>
      <c r="O48" s="313"/>
      <c r="P48" s="315"/>
      <c r="Q48" s="318"/>
      <c r="R48" s="315"/>
      <c r="S48" s="320"/>
      <c r="T48" s="315"/>
      <c r="V48" s="316"/>
    </row>
    <row r="49" spans="2:23" s="284" customFormat="1" ht="25.5" x14ac:dyDescent="0.35">
      <c r="B49" s="323" t="s">
        <v>220</v>
      </c>
      <c r="C49" s="295"/>
      <c r="D49" s="295"/>
      <c r="E49" s="317"/>
      <c r="F49" s="313">
        <f>+H49+J49+L49+N49+R49+P49+T49</f>
        <v>394381</v>
      </c>
      <c r="G49" s="317"/>
      <c r="H49" s="315"/>
      <c r="I49" s="318"/>
      <c r="J49" s="315"/>
      <c r="K49" s="318"/>
      <c r="L49" s="315"/>
      <c r="M49" s="313"/>
      <c r="N49" s="313"/>
      <c r="O49" s="313"/>
      <c r="P49" s="315"/>
      <c r="Q49" s="318"/>
      <c r="R49" s="313">
        <v>394381</v>
      </c>
      <c r="S49" s="320"/>
      <c r="T49" s="315"/>
      <c r="V49" s="316"/>
    </row>
    <row r="50" spans="2:23" s="284" customFormat="1" ht="25.5" x14ac:dyDescent="0.35">
      <c r="B50" s="311" t="s">
        <v>221</v>
      </c>
      <c r="C50" s="295"/>
      <c r="D50" s="295"/>
      <c r="E50" s="317"/>
      <c r="F50" s="313">
        <f t="shared" si="2"/>
        <v>131559032</v>
      </c>
      <c r="G50" s="317"/>
      <c r="H50" s="315"/>
      <c r="I50" s="318"/>
      <c r="J50" s="315"/>
      <c r="K50" s="318"/>
      <c r="L50" s="313">
        <f>125228644+44</f>
        <v>125228688</v>
      </c>
      <c r="M50" s="313"/>
      <c r="N50" s="313">
        <v>2318457</v>
      </c>
      <c r="O50" s="313"/>
      <c r="P50" s="315"/>
      <c r="Q50" s="318"/>
      <c r="R50" s="313">
        <f>4011881+6</f>
        <v>4011887</v>
      </c>
      <c r="S50" s="318"/>
      <c r="T50" s="315"/>
      <c r="V50" s="316"/>
      <c r="W50" s="316"/>
    </row>
    <row r="51" spans="2:23" s="284" customFormat="1" ht="25.5" x14ac:dyDescent="0.35">
      <c r="B51" s="323" t="s">
        <v>222</v>
      </c>
      <c r="C51" s="295"/>
      <c r="D51" s="295"/>
      <c r="E51" s="317"/>
      <c r="F51" s="313">
        <f t="shared" si="2"/>
        <v>52302</v>
      </c>
      <c r="G51" s="317"/>
      <c r="H51" s="315"/>
      <c r="I51" s="318"/>
      <c r="J51" s="315"/>
      <c r="K51" s="318"/>
      <c r="L51" s="315"/>
      <c r="M51" s="313"/>
      <c r="N51" s="313"/>
      <c r="O51" s="313"/>
      <c r="P51" s="313">
        <f>27338+16800</f>
        <v>44138</v>
      </c>
      <c r="Q51" s="318"/>
      <c r="R51" s="315"/>
      <c r="S51" s="318"/>
      <c r="T51" s="313">
        <v>8164</v>
      </c>
      <c r="V51" s="316"/>
      <c r="W51" s="316"/>
    </row>
    <row r="52" spans="2:23" s="284" customFormat="1" ht="25.5" x14ac:dyDescent="0.35">
      <c r="B52" s="323" t="s">
        <v>223</v>
      </c>
      <c r="C52" s="295"/>
      <c r="D52" s="295"/>
      <c r="E52" s="317"/>
      <c r="F52" s="313">
        <f t="shared" si="2"/>
        <v>193453</v>
      </c>
      <c r="G52" s="317"/>
      <c r="H52" s="315"/>
      <c r="I52" s="318"/>
      <c r="J52" s="315"/>
      <c r="K52" s="318"/>
      <c r="L52" s="315"/>
      <c r="M52" s="313"/>
      <c r="N52" s="313"/>
      <c r="O52" s="313"/>
      <c r="P52" s="313">
        <v>168170</v>
      </c>
      <c r="Q52" s="318"/>
      <c r="R52" s="315"/>
      <c r="S52" s="318"/>
      <c r="T52" s="313">
        <v>25283</v>
      </c>
      <c r="V52" s="316"/>
    </row>
    <row r="53" spans="2:23" s="284" customFormat="1" ht="25.5" x14ac:dyDescent="0.35">
      <c r="B53" s="323" t="s">
        <v>224</v>
      </c>
      <c r="C53" s="295"/>
      <c r="D53" s="295"/>
      <c r="E53" s="317"/>
      <c r="F53" s="313">
        <f t="shared" si="2"/>
        <v>301137</v>
      </c>
      <c r="G53" s="317"/>
      <c r="H53" s="315"/>
      <c r="I53" s="318"/>
      <c r="J53" s="315"/>
      <c r="K53" s="318"/>
      <c r="L53" s="315"/>
      <c r="M53" s="313"/>
      <c r="N53" s="313"/>
      <c r="O53" s="313"/>
      <c r="P53" s="313">
        <v>278626</v>
      </c>
      <c r="Q53" s="318"/>
      <c r="R53" s="315"/>
      <c r="S53" s="320"/>
      <c r="T53" s="313">
        <v>22511</v>
      </c>
      <c r="V53" s="316"/>
    </row>
    <row r="54" spans="2:23" s="284" customFormat="1" ht="25.5" x14ac:dyDescent="0.35">
      <c r="B54" s="323" t="s">
        <v>225</v>
      </c>
      <c r="C54" s="295"/>
      <c r="D54" s="295"/>
      <c r="E54" s="317"/>
      <c r="F54" s="313">
        <f t="shared" si="2"/>
        <v>2153051</v>
      </c>
      <c r="G54" s="317"/>
      <c r="H54" s="315"/>
      <c r="I54" s="318"/>
      <c r="J54" s="315"/>
      <c r="K54" s="318"/>
      <c r="L54" s="313">
        <v>2005552</v>
      </c>
      <c r="M54" s="313"/>
      <c r="N54" s="313">
        <v>61830</v>
      </c>
      <c r="O54" s="313"/>
      <c r="P54" s="315"/>
      <c r="Q54" s="318"/>
      <c r="R54" s="313">
        <v>85669</v>
      </c>
      <c r="S54" s="318"/>
      <c r="T54" s="315"/>
      <c r="V54" s="316"/>
      <c r="W54" s="316"/>
    </row>
    <row r="55" spans="2:23" s="284" customFormat="1" ht="25.5" x14ac:dyDescent="0.35">
      <c r="B55" s="323" t="s">
        <v>226</v>
      </c>
      <c r="C55" s="295"/>
      <c r="D55" s="295"/>
      <c r="E55" s="317"/>
      <c r="F55" s="313">
        <f t="shared" si="2"/>
        <v>1156341</v>
      </c>
      <c r="G55" s="317"/>
      <c r="H55" s="315"/>
      <c r="I55" s="318"/>
      <c r="J55" s="315"/>
      <c r="K55" s="318"/>
      <c r="L55" s="313">
        <f>1156594-85-168</f>
        <v>1156341</v>
      </c>
      <c r="M55" s="313"/>
      <c r="N55" s="313"/>
      <c r="O55" s="313"/>
      <c r="P55" s="315"/>
      <c r="Q55" s="318"/>
      <c r="R55" s="313"/>
      <c r="S55" s="318"/>
      <c r="T55" s="315"/>
      <c r="V55" s="316"/>
      <c r="W55" s="316"/>
    </row>
    <row r="56" spans="2:23" s="284" customFormat="1" ht="25.5" x14ac:dyDescent="0.35">
      <c r="B56" s="323" t="s">
        <v>227</v>
      </c>
      <c r="C56" s="295"/>
      <c r="D56" s="295"/>
      <c r="E56" s="317"/>
      <c r="F56" s="313">
        <f t="shared" si="2"/>
        <v>43087</v>
      </c>
      <c r="G56" s="317"/>
      <c r="H56" s="315"/>
      <c r="I56" s="318"/>
      <c r="J56" s="315"/>
      <c r="K56" s="318"/>
      <c r="L56" s="315"/>
      <c r="M56" s="313"/>
      <c r="N56" s="313"/>
      <c r="O56" s="313"/>
      <c r="P56" s="313">
        <f>5287+37800</f>
        <v>43087</v>
      </c>
      <c r="Q56" s="318"/>
      <c r="R56" s="315"/>
      <c r="S56" s="320"/>
      <c r="T56" s="315"/>
      <c r="V56" s="316"/>
    </row>
    <row r="57" spans="2:23" s="284" customFormat="1" ht="25.5" x14ac:dyDescent="0.35">
      <c r="B57" s="323" t="s">
        <v>228</v>
      </c>
      <c r="C57" s="295"/>
      <c r="D57" s="295"/>
      <c r="E57" s="317"/>
      <c r="F57" s="313">
        <f t="shared" si="2"/>
        <v>32484</v>
      </c>
      <c r="G57" s="317"/>
      <c r="H57" s="315"/>
      <c r="I57" s="318"/>
      <c r="J57" s="315"/>
      <c r="K57" s="318"/>
      <c r="L57" s="315"/>
      <c r="M57" s="313"/>
      <c r="N57" s="313"/>
      <c r="O57" s="313"/>
      <c r="P57" s="313">
        <v>32484</v>
      </c>
      <c r="Q57" s="318"/>
      <c r="R57" s="315"/>
      <c r="S57" s="320"/>
      <c r="T57" s="313"/>
      <c r="V57" s="316"/>
      <c r="W57" s="316"/>
    </row>
    <row r="58" spans="2:23" s="284" customFormat="1" ht="25.5" x14ac:dyDescent="0.35">
      <c r="B58" s="323" t="s">
        <v>229</v>
      </c>
      <c r="C58" s="295"/>
      <c r="D58" s="295"/>
      <c r="E58" s="317"/>
      <c r="F58" s="313">
        <f t="shared" si="2"/>
        <v>26491</v>
      </c>
      <c r="G58" s="317"/>
      <c r="H58" s="315"/>
      <c r="I58" s="318"/>
      <c r="J58" s="315"/>
      <c r="K58" s="318"/>
      <c r="L58" s="315"/>
      <c r="M58" s="313"/>
      <c r="N58" s="313"/>
      <c r="O58" s="313"/>
      <c r="P58" s="313">
        <v>26491</v>
      </c>
      <c r="Q58" s="318"/>
      <c r="R58" s="315"/>
      <c r="S58" s="320"/>
      <c r="T58" s="313"/>
      <c r="V58" s="316"/>
      <c r="W58" s="316"/>
    </row>
    <row r="59" spans="2:23" s="284" customFormat="1" ht="25.5" x14ac:dyDescent="0.35">
      <c r="B59" s="323" t="s">
        <v>230</v>
      </c>
      <c r="C59" s="295"/>
      <c r="D59" s="295"/>
      <c r="E59" s="317"/>
      <c r="F59" s="313">
        <f t="shared" si="2"/>
        <v>17220</v>
      </c>
      <c r="G59" s="317"/>
      <c r="H59" s="315"/>
      <c r="I59" s="318"/>
      <c r="J59" s="315"/>
      <c r="K59" s="318"/>
      <c r="L59" s="313">
        <v>17220</v>
      </c>
      <c r="M59" s="313"/>
      <c r="N59" s="313"/>
      <c r="O59" s="313"/>
      <c r="P59" s="315"/>
      <c r="Q59" s="318"/>
      <c r="R59" s="315"/>
      <c r="S59" s="320"/>
      <c r="T59" s="315"/>
      <c r="V59" s="316"/>
    </row>
    <row r="60" spans="2:23" s="284" customFormat="1" ht="25.5" x14ac:dyDescent="0.35">
      <c r="B60" s="323" t="s">
        <v>231</v>
      </c>
      <c r="C60" s="295"/>
      <c r="D60" s="295"/>
      <c r="E60" s="317"/>
      <c r="F60" s="313">
        <f t="shared" si="2"/>
        <v>211344</v>
      </c>
      <c r="G60" s="317"/>
      <c r="H60" s="315"/>
      <c r="I60" s="318"/>
      <c r="J60" s="315"/>
      <c r="K60" s="318"/>
      <c r="L60" s="315"/>
      <c r="M60" s="313"/>
      <c r="N60" s="313"/>
      <c r="O60" s="313"/>
      <c r="P60" s="313">
        <v>211344</v>
      </c>
      <c r="Q60" s="318"/>
      <c r="R60" s="315"/>
      <c r="S60" s="320"/>
      <c r="T60" s="315"/>
      <c r="V60" s="316"/>
    </row>
    <row r="61" spans="2:23" s="284" customFormat="1" ht="25.5" x14ac:dyDescent="0.35">
      <c r="B61" s="334" t="s">
        <v>232</v>
      </c>
      <c r="C61" s="295"/>
      <c r="D61" s="295"/>
      <c r="E61" s="317"/>
      <c r="F61" s="313">
        <f t="shared" si="2"/>
        <v>649291</v>
      </c>
      <c r="G61" s="317"/>
      <c r="H61" s="315"/>
      <c r="I61" s="318"/>
      <c r="J61" s="315"/>
      <c r="K61" s="318"/>
      <c r="L61" s="315"/>
      <c r="M61" s="313"/>
      <c r="N61" s="313"/>
      <c r="O61" s="313"/>
      <c r="P61" s="313">
        <v>649291</v>
      </c>
      <c r="Q61" s="318"/>
      <c r="R61" s="315"/>
      <c r="S61" s="320"/>
      <c r="T61" s="315"/>
      <c r="V61" s="316"/>
    </row>
    <row r="62" spans="2:23" s="284" customFormat="1" ht="25.5" x14ac:dyDescent="0.35">
      <c r="B62" s="323" t="s">
        <v>233</v>
      </c>
      <c r="C62" s="295"/>
      <c r="D62" s="295"/>
      <c r="E62" s="317"/>
      <c r="F62" s="313">
        <f t="shared" si="2"/>
        <v>738222</v>
      </c>
      <c r="G62" s="317"/>
      <c r="H62" s="315"/>
      <c r="I62" s="318"/>
      <c r="J62" s="315"/>
      <c r="K62" s="318"/>
      <c r="L62" s="315"/>
      <c r="M62" s="313"/>
      <c r="N62" s="313"/>
      <c r="O62" s="313"/>
      <c r="P62" s="313">
        <v>738222</v>
      </c>
      <c r="Q62" s="318"/>
      <c r="R62" s="315"/>
      <c r="S62" s="320"/>
      <c r="T62" s="315"/>
      <c r="V62" s="316"/>
    </row>
    <row r="63" spans="2:23" s="284" customFormat="1" ht="25.5" x14ac:dyDescent="0.35">
      <c r="B63" s="323" t="s">
        <v>234</v>
      </c>
      <c r="C63" s="295"/>
      <c r="D63" s="295"/>
      <c r="E63" s="317"/>
      <c r="F63" s="313">
        <f t="shared" si="2"/>
        <v>724260</v>
      </c>
      <c r="G63" s="317"/>
      <c r="H63" s="315"/>
      <c r="I63" s="318"/>
      <c r="J63" s="315"/>
      <c r="K63" s="318"/>
      <c r="L63" s="313">
        <v>724260</v>
      </c>
      <c r="M63" s="313"/>
      <c r="N63" s="313"/>
      <c r="O63" s="313"/>
      <c r="P63" s="315"/>
      <c r="Q63" s="318"/>
      <c r="R63" s="315"/>
      <c r="S63" s="320"/>
      <c r="T63" s="315"/>
      <c r="V63" s="316"/>
    </row>
    <row r="64" spans="2:23" s="284" customFormat="1" ht="25.5" x14ac:dyDescent="0.35">
      <c r="B64" s="311" t="s">
        <v>235</v>
      </c>
      <c r="C64" s="295"/>
      <c r="D64" s="295"/>
      <c r="E64" s="317"/>
      <c r="F64" s="313">
        <f t="shared" si="2"/>
        <v>62</v>
      </c>
      <c r="G64" s="317"/>
      <c r="H64" s="315"/>
      <c r="I64" s="318"/>
      <c r="J64" s="315"/>
      <c r="K64" s="318"/>
      <c r="L64" s="313">
        <v>62</v>
      </c>
      <c r="M64" s="313"/>
      <c r="N64" s="313"/>
      <c r="O64" s="313"/>
      <c r="P64" s="315"/>
      <c r="Q64" s="318"/>
      <c r="R64" s="315"/>
      <c r="S64" s="320"/>
      <c r="T64" s="315"/>
      <c r="V64" s="316"/>
    </row>
    <row r="65" spans="2:23" s="284" customFormat="1" ht="25.5" x14ac:dyDescent="0.35">
      <c r="B65" s="323" t="s">
        <v>236</v>
      </c>
      <c r="C65" s="295"/>
      <c r="D65" s="295"/>
      <c r="E65" s="317"/>
      <c r="F65" s="313">
        <f t="shared" si="2"/>
        <v>1949839</v>
      </c>
      <c r="G65" s="317"/>
      <c r="H65" s="315"/>
      <c r="I65" s="318"/>
      <c r="J65" s="315"/>
      <c r="K65" s="318"/>
      <c r="L65" s="313">
        <v>1942939</v>
      </c>
      <c r="M65" s="313"/>
      <c r="N65" s="313"/>
      <c r="O65" s="313"/>
      <c r="P65" s="315"/>
      <c r="Q65" s="318"/>
      <c r="R65" s="313">
        <v>6900</v>
      </c>
      <c r="S65" s="320"/>
      <c r="T65" s="315"/>
      <c r="V65" s="316"/>
      <c r="W65" s="316"/>
    </row>
    <row r="66" spans="2:23" s="284" customFormat="1" ht="24.6" customHeight="1" x14ac:dyDescent="0.35">
      <c r="B66" s="311" t="s">
        <v>237</v>
      </c>
      <c r="C66" s="295"/>
      <c r="D66" s="295"/>
      <c r="E66" s="317"/>
      <c r="F66" s="313">
        <f t="shared" si="2"/>
        <v>25501980</v>
      </c>
      <c r="G66" s="317"/>
      <c r="H66" s="315"/>
      <c r="I66" s="318"/>
      <c r="J66" s="313"/>
      <c r="K66" s="318"/>
      <c r="L66" s="313">
        <v>22151230</v>
      </c>
      <c r="M66" s="313"/>
      <c r="N66" s="313">
        <v>3350750</v>
      </c>
      <c r="O66" s="313"/>
      <c r="P66" s="315"/>
      <c r="Q66" s="318"/>
      <c r="R66" s="315"/>
      <c r="S66" s="320"/>
      <c r="T66" s="315"/>
      <c r="V66" s="316"/>
    </row>
    <row r="67" spans="2:23" s="284" customFormat="1" ht="24.6" customHeight="1" x14ac:dyDescent="0.35">
      <c r="B67" s="311" t="s">
        <v>238</v>
      </c>
      <c r="C67" s="295"/>
      <c r="D67" s="295"/>
      <c r="E67" s="317"/>
      <c r="F67" s="313">
        <f t="shared" si="2"/>
        <v>18898380</v>
      </c>
      <c r="G67" s="317"/>
      <c r="H67" s="315"/>
      <c r="I67" s="318"/>
      <c r="J67" s="313">
        <v>9576788</v>
      </c>
      <c r="K67" s="318"/>
      <c r="L67" s="315"/>
      <c r="M67" s="313"/>
      <c r="N67" s="313"/>
      <c r="O67" s="313"/>
      <c r="P67" s="315"/>
      <c r="Q67" s="318"/>
      <c r="R67" s="313">
        <v>9321592</v>
      </c>
      <c r="S67" s="320"/>
      <c r="T67" s="315"/>
      <c r="V67" s="316"/>
      <c r="W67" s="316"/>
    </row>
    <row r="68" spans="2:23" s="284" customFormat="1" ht="24.6" customHeight="1" x14ac:dyDescent="0.35">
      <c r="B68" s="311" t="s">
        <v>239</v>
      </c>
      <c r="C68" s="295"/>
      <c r="D68" s="295"/>
      <c r="E68" s="317"/>
      <c r="F68" s="313">
        <f t="shared" si="2"/>
        <v>36581685</v>
      </c>
      <c r="G68" s="317"/>
      <c r="H68" s="315"/>
      <c r="I68" s="318"/>
      <c r="J68" s="313">
        <v>36581685</v>
      </c>
      <c r="K68" s="318"/>
      <c r="L68" s="315"/>
      <c r="M68" s="313"/>
      <c r="N68" s="313"/>
      <c r="O68" s="313"/>
      <c r="P68" s="315"/>
      <c r="Q68" s="318"/>
      <c r="R68" s="315"/>
      <c r="S68" s="320"/>
      <c r="T68" s="315"/>
      <c r="V68" s="316"/>
    </row>
    <row r="69" spans="2:23" s="284" customFormat="1" ht="24.6" customHeight="1" x14ac:dyDescent="0.35">
      <c r="B69" s="323" t="s">
        <v>240</v>
      </c>
      <c r="C69" s="295"/>
      <c r="D69" s="295"/>
      <c r="E69" s="317"/>
      <c r="F69" s="313">
        <f t="shared" si="2"/>
        <v>1163229</v>
      </c>
      <c r="G69" s="317"/>
      <c r="H69" s="315"/>
      <c r="I69" s="318"/>
      <c r="J69" s="313">
        <v>1163229</v>
      </c>
      <c r="K69" s="318"/>
      <c r="L69" s="315"/>
      <c r="M69" s="313"/>
      <c r="N69" s="313"/>
      <c r="O69" s="313"/>
      <c r="P69" s="315"/>
      <c r="Q69" s="318"/>
      <c r="R69" s="315"/>
      <c r="S69" s="320"/>
      <c r="T69" s="315"/>
      <c r="V69" s="316"/>
    </row>
    <row r="70" spans="2:23" s="284" customFormat="1" ht="24.6" customHeight="1" x14ac:dyDescent="0.35">
      <c r="B70" s="323" t="s">
        <v>241</v>
      </c>
      <c r="C70" s="295"/>
      <c r="D70" s="295"/>
      <c r="E70" s="317"/>
      <c r="F70" s="313">
        <f t="shared" si="2"/>
        <v>97925</v>
      </c>
      <c r="G70" s="317"/>
      <c r="H70" s="315"/>
      <c r="I70" s="318"/>
      <c r="J70" s="313">
        <v>97925</v>
      </c>
      <c r="K70" s="318"/>
      <c r="L70" s="315"/>
      <c r="M70" s="313"/>
      <c r="N70" s="313"/>
      <c r="O70" s="313"/>
      <c r="P70" s="315"/>
      <c r="Q70" s="318"/>
      <c r="R70" s="315"/>
      <c r="S70" s="320"/>
      <c r="T70" s="315"/>
      <c r="V70" s="316"/>
    </row>
    <row r="71" spans="2:23" s="284" customFormat="1" ht="24.6" customHeight="1" x14ac:dyDescent="0.35">
      <c r="B71" s="311" t="s">
        <v>242</v>
      </c>
      <c r="C71" s="295"/>
      <c r="D71" s="295"/>
      <c r="E71" s="317"/>
      <c r="F71" s="313">
        <f t="shared" si="2"/>
        <v>72318</v>
      </c>
      <c r="G71" s="317"/>
      <c r="H71" s="335">
        <v>15300</v>
      </c>
      <c r="I71" s="318"/>
      <c r="J71" s="313">
        <v>50565</v>
      </c>
      <c r="K71" s="318"/>
      <c r="L71" s="315"/>
      <c r="M71" s="313"/>
      <c r="N71" s="313"/>
      <c r="O71" s="313"/>
      <c r="P71" s="315"/>
      <c r="Q71" s="318"/>
      <c r="R71" s="313">
        <v>6453</v>
      </c>
      <c r="S71" s="320"/>
      <c r="T71" s="315"/>
      <c r="V71" s="316"/>
    </row>
    <row r="72" spans="2:23" s="284" customFormat="1" ht="24.6" customHeight="1" x14ac:dyDescent="0.35">
      <c r="B72" s="323" t="s">
        <v>243</v>
      </c>
      <c r="C72" s="295"/>
      <c r="D72" s="295"/>
      <c r="E72" s="317"/>
      <c r="F72" s="313">
        <f t="shared" si="2"/>
        <v>1417965</v>
      </c>
      <c r="G72" s="317"/>
      <c r="H72" s="315"/>
      <c r="I72" s="318"/>
      <c r="J72" s="315"/>
      <c r="K72" s="318"/>
      <c r="L72" s="315"/>
      <c r="M72" s="313"/>
      <c r="N72" s="313"/>
      <c r="O72" s="313"/>
      <c r="P72" s="315"/>
      <c r="Q72" s="318"/>
      <c r="R72" s="313">
        <v>1412425</v>
      </c>
      <c r="S72" s="320"/>
      <c r="T72" s="313">
        <v>5540</v>
      </c>
      <c r="V72" s="316"/>
    </row>
    <row r="73" spans="2:23" s="284" customFormat="1" ht="24.6" hidden="1" customHeight="1" x14ac:dyDescent="0.35">
      <c r="B73" s="334" t="s">
        <v>244</v>
      </c>
      <c r="C73" s="295"/>
      <c r="D73" s="295"/>
      <c r="E73" s="317"/>
      <c r="F73" s="313">
        <f t="shared" si="2"/>
        <v>0</v>
      </c>
      <c r="G73" s="317"/>
      <c r="H73" s="315"/>
      <c r="I73" s="318"/>
      <c r="J73" s="315"/>
      <c r="K73" s="318"/>
      <c r="L73" s="315"/>
      <c r="M73" s="313"/>
      <c r="N73" s="313"/>
      <c r="O73" s="313"/>
      <c r="P73" s="315"/>
      <c r="Q73" s="318"/>
      <c r="R73" s="315"/>
      <c r="S73" s="320"/>
      <c r="T73" s="313"/>
      <c r="V73" s="316"/>
    </row>
    <row r="74" spans="2:23" s="284" customFormat="1" ht="24.6" customHeight="1" x14ac:dyDescent="0.35">
      <c r="B74" s="323" t="s">
        <v>245</v>
      </c>
      <c r="C74" s="295"/>
      <c r="D74" s="295"/>
      <c r="E74" s="317"/>
      <c r="F74" s="313">
        <f t="shared" si="2"/>
        <v>24966</v>
      </c>
      <c r="G74" s="317"/>
      <c r="H74" s="315"/>
      <c r="I74" s="318"/>
      <c r="J74" s="315"/>
      <c r="K74" s="318"/>
      <c r="L74" s="315"/>
      <c r="M74" s="313"/>
      <c r="N74" s="313"/>
      <c r="O74" s="313"/>
      <c r="P74" s="315"/>
      <c r="Q74" s="318"/>
      <c r="R74" s="315"/>
      <c r="S74" s="320"/>
      <c r="T74" s="313">
        <v>24966</v>
      </c>
      <c r="V74" s="316"/>
    </row>
    <row r="75" spans="2:23" s="284" customFormat="1" ht="24.6" customHeight="1" x14ac:dyDescent="0.35">
      <c r="B75" s="323" t="s">
        <v>246</v>
      </c>
      <c r="C75" s="295"/>
      <c r="D75" s="295"/>
      <c r="E75" s="317"/>
      <c r="F75" s="313">
        <f t="shared" si="2"/>
        <v>36096</v>
      </c>
      <c r="G75" s="317"/>
      <c r="H75" s="315"/>
      <c r="I75" s="318"/>
      <c r="J75" s="315"/>
      <c r="K75" s="318"/>
      <c r="L75" s="315"/>
      <c r="M75" s="313"/>
      <c r="N75" s="313"/>
      <c r="O75" s="313"/>
      <c r="P75" s="315"/>
      <c r="Q75" s="318"/>
      <c r="R75" s="315"/>
      <c r="S75" s="320"/>
      <c r="T75" s="313">
        <v>36096</v>
      </c>
      <c r="V75" s="316"/>
    </row>
    <row r="76" spans="2:23" s="284" customFormat="1" ht="24.6" customHeight="1" x14ac:dyDescent="0.35">
      <c r="B76" s="323" t="s">
        <v>247</v>
      </c>
      <c r="C76" s="295"/>
      <c r="D76" s="295"/>
      <c r="E76" s="317"/>
      <c r="F76" s="313">
        <f t="shared" si="2"/>
        <v>21300</v>
      </c>
      <c r="G76" s="317"/>
      <c r="H76" s="315"/>
      <c r="I76" s="318"/>
      <c r="J76" s="315"/>
      <c r="K76" s="318"/>
      <c r="L76" s="315"/>
      <c r="M76" s="313"/>
      <c r="N76" s="313"/>
      <c r="O76" s="313"/>
      <c r="P76" s="315"/>
      <c r="Q76" s="318"/>
      <c r="R76" s="313">
        <v>21300</v>
      </c>
      <c r="S76" s="320"/>
      <c r="T76" s="315"/>
      <c r="V76" s="316"/>
    </row>
    <row r="77" spans="2:23" s="284" customFormat="1" ht="24.6" customHeight="1" x14ac:dyDescent="0.35">
      <c r="B77" s="323" t="s">
        <v>248</v>
      </c>
      <c r="C77" s="295"/>
      <c r="D77" s="295"/>
      <c r="E77" s="317"/>
      <c r="F77" s="313">
        <f t="shared" si="2"/>
        <v>11867872</v>
      </c>
      <c r="G77" s="317"/>
      <c r="H77" s="315"/>
      <c r="I77" s="318"/>
      <c r="J77" s="315"/>
      <c r="K77" s="318"/>
      <c r="L77" s="315"/>
      <c r="M77" s="313"/>
      <c r="N77" s="313"/>
      <c r="O77" s="313"/>
      <c r="P77" s="315"/>
      <c r="Q77" s="318"/>
      <c r="R77" s="313">
        <f>11535772+332100</f>
        <v>11867872</v>
      </c>
      <c r="S77" s="318"/>
      <c r="T77" s="315"/>
      <c r="V77" s="316"/>
      <c r="W77" s="316"/>
    </row>
    <row r="78" spans="2:23" s="284" customFormat="1" ht="24.6" customHeight="1" x14ac:dyDescent="0.35">
      <c r="B78" s="323" t="s">
        <v>249</v>
      </c>
      <c r="C78" s="295"/>
      <c r="D78" s="295"/>
      <c r="E78" s="317"/>
      <c r="F78" s="313">
        <f t="shared" si="2"/>
        <v>38599</v>
      </c>
      <c r="G78" s="317"/>
      <c r="H78" s="315"/>
      <c r="I78" s="318"/>
      <c r="J78" s="315"/>
      <c r="K78" s="318"/>
      <c r="L78" s="315"/>
      <c r="M78" s="313"/>
      <c r="N78" s="313"/>
      <c r="O78" s="313"/>
      <c r="P78" s="315"/>
      <c r="Q78" s="318"/>
      <c r="R78" s="315"/>
      <c r="S78" s="320"/>
      <c r="T78" s="313">
        <v>38599</v>
      </c>
      <c r="V78" s="316"/>
    </row>
    <row r="79" spans="2:23" s="284" customFormat="1" ht="24.6" customHeight="1" x14ac:dyDescent="0.35">
      <c r="B79" s="323" t="s">
        <v>250</v>
      </c>
      <c r="C79" s="295"/>
      <c r="D79" s="295"/>
      <c r="E79" s="317"/>
      <c r="F79" s="313">
        <f t="shared" si="2"/>
        <v>1283516</v>
      </c>
      <c r="G79" s="317"/>
      <c r="H79" s="315"/>
      <c r="I79" s="318"/>
      <c r="J79" s="315"/>
      <c r="K79" s="318"/>
      <c r="L79" s="313">
        <v>1146547</v>
      </c>
      <c r="M79" s="313"/>
      <c r="N79" s="313">
        <v>136969</v>
      </c>
      <c r="O79" s="313"/>
      <c r="P79" s="315"/>
      <c r="Q79" s="318"/>
      <c r="R79" s="315"/>
      <c r="S79" s="320"/>
      <c r="T79" s="315"/>
      <c r="V79" s="316"/>
    </row>
    <row r="80" spans="2:23" s="284" customFormat="1" ht="24.6" customHeight="1" x14ac:dyDescent="0.35">
      <c r="B80" s="323" t="s">
        <v>251</v>
      </c>
      <c r="C80" s="295"/>
      <c r="D80" s="295"/>
      <c r="E80" s="317"/>
      <c r="F80" s="313">
        <f t="shared" si="2"/>
        <v>102466</v>
      </c>
      <c r="G80" s="317"/>
      <c r="H80" s="315"/>
      <c r="I80" s="318"/>
      <c r="J80" s="315"/>
      <c r="K80" s="318"/>
      <c r="L80" s="313">
        <v>102466</v>
      </c>
      <c r="M80" s="313"/>
      <c r="N80" s="313"/>
      <c r="O80" s="313"/>
      <c r="P80" s="315"/>
      <c r="Q80" s="318"/>
      <c r="R80" s="315"/>
      <c r="S80" s="320"/>
      <c r="T80" s="315"/>
      <c r="V80" s="316"/>
    </row>
    <row r="81" spans="1:43" s="284" customFormat="1" ht="25.5" x14ac:dyDescent="0.35">
      <c r="B81" s="323" t="s">
        <v>252</v>
      </c>
      <c r="C81" s="295"/>
      <c r="D81" s="295"/>
      <c r="E81" s="317"/>
      <c r="F81" s="313">
        <f t="shared" si="2"/>
        <v>3124702</v>
      </c>
      <c r="G81" s="317"/>
      <c r="H81" s="315"/>
      <c r="I81" s="318"/>
      <c r="J81" s="315"/>
      <c r="K81" s="318"/>
      <c r="L81" s="313">
        <v>3124702</v>
      </c>
      <c r="M81" s="313"/>
      <c r="N81" s="313"/>
      <c r="O81" s="313"/>
      <c r="P81" s="315"/>
      <c r="Q81" s="318"/>
      <c r="R81" s="315"/>
      <c r="S81" s="318"/>
      <c r="T81" s="315"/>
      <c r="V81" s="316"/>
    </row>
    <row r="82" spans="1:43" s="284" customFormat="1" ht="25.5" x14ac:dyDescent="0.35">
      <c r="B82" s="334" t="s">
        <v>253</v>
      </c>
      <c r="C82" s="295"/>
      <c r="D82" s="295"/>
      <c r="E82" s="317"/>
      <c r="F82" s="313">
        <f t="shared" si="2"/>
        <v>251298320</v>
      </c>
      <c r="G82" s="317"/>
      <c r="H82" s="315"/>
      <c r="I82" s="318"/>
      <c r="J82" s="315"/>
      <c r="K82" s="318"/>
      <c r="L82" s="313">
        <v>251298320</v>
      </c>
      <c r="M82" s="313"/>
      <c r="N82" s="313"/>
      <c r="O82" s="313"/>
      <c r="P82" s="315"/>
      <c r="Q82" s="318"/>
      <c r="R82" s="315"/>
      <c r="S82" s="320"/>
      <c r="T82" s="315"/>
      <c r="V82" s="316"/>
    </row>
    <row r="83" spans="1:43" s="284" customFormat="1" ht="25.5" x14ac:dyDescent="0.35">
      <c r="B83" s="323" t="s">
        <v>254</v>
      </c>
      <c r="C83" s="295"/>
      <c r="D83" s="295"/>
      <c r="E83" s="317"/>
      <c r="F83" s="313">
        <f t="shared" si="2"/>
        <v>80086750</v>
      </c>
      <c r="G83" s="317"/>
      <c r="H83" s="315"/>
      <c r="I83" s="318"/>
      <c r="J83" s="315"/>
      <c r="K83" s="318"/>
      <c r="L83" s="313">
        <v>80082840</v>
      </c>
      <c r="M83" s="313"/>
      <c r="N83" s="313">
        <v>3910</v>
      </c>
      <c r="O83" s="313"/>
      <c r="P83" s="315"/>
      <c r="Q83" s="318"/>
      <c r="R83" s="315"/>
      <c r="S83" s="320"/>
      <c r="T83" s="315"/>
      <c r="V83" s="316"/>
    </row>
    <row r="84" spans="1:43" s="284" customFormat="1" ht="25.5" x14ac:dyDescent="0.35">
      <c r="A84" s="313"/>
      <c r="B84" s="336" t="s">
        <v>255</v>
      </c>
      <c r="C84" s="313"/>
      <c r="D84" s="313"/>
      <c r="E84" s="313"/>
      <c r="F84" s="313">
        <f t="shared" si="2"/>
        <v>16140687</v>
      </c>
      <c r="G84" s="313"/>
      <c r="H84" s="315"/>
      <c r="I84" s="318"/>
      <c r="J84" s="315"/>
      <c r="K84" s="318"/>
      <c r="L84" s="313">
        <v>16140687</v>
      </c>
      <c r="M84" s="313"/>
      <c r="N84" s="313"/>
      <c r="O84" s="313"/>
      <c r="P84" s="315"/>
      <c r="Q84" s="318"/>
      <c r="R84" s="315"/>
      <c r="S84" s="313"/>
      <c r="T84" s="315"/>
      <c r="V84" s="316"/>
    </row>
    <row r="85" spans="1:43" s="284" customFormat="1" ht="25.5" x14ac:dyDescent="0.35">
      <c r="A85" s="313"/>
      <c r="B85" s="311" t="s">
        <v>256</v>
      </c>
      <c r="C85" s="313"/>
      <c r="D85" s="313"/>
      <c r="E85" s="313"/>
      <c r="F85" s="313">
        <f t="shared" si="2"/>
        <v>3059</v>
      </c>
      <c r="G85" s="313"/>
      <c r="H85" s="315"/>
      <c r="I85" s="318"/>
      <c r="J85" s="315"/>
      <c r="K85" s="318"/>
      <c r="L85" s="313">
        <v>1294</v>
      </c>
      <c r="M85" s="313"/>
      <c r="N85" s="313">
        <v>1765</v>
      </c>
      <c r="O85" s="313"/>
      <c r="P85" s="315"/>
      <c r="Q85" s="318"/>
      <c r="R85" s="315"/>
      <c r="S85" s="313"/>
      <c r="T85" s="315"/>
      <c r="V85" s="316"/>
    </row>
    <row r="86" spans="1:43" s="284" customFormat="1" ht="25.5" x14ac:dyDescent="0.35">
      <c r="A86" s="313"/>
      <c r="B86" s="337" t="s">
        <v>257</v>
      </c>
      <c r="C86" s="313"/>
      <c r="D86" s="313"/>
      <c r="E86" s="313"/>
      <c r="F86" s="313">
        <f t="shared" si="2"/>
        <v>5583935</v>
      </c>
      <c r="G86" s="313"/>
      <c r="H86" s="315"/>
      <c r="I86" s="318"/>
      <c r="J86" s="315"/>
      <c r="K86" s="318"/>
      <c r="L86" s="313">
        <f>5583995-60</f>
        <v>5583935</v>
      </c>
      <c r="M86" s="313"/>
      <c r="N86" s="313"/>
      <c r="O86" s="313"/>
      <c r="P86" s="315"/>
      <c r="Q86" s="318"/>
      <c r="R86" s="315"/>
      <c r="S86" s="313"/>
      <c r="T86" s="315"/>
      <c r="V86" s="316"/>
    </row>
    <row r="87" spans="1:43" s="284" customFormat="1" ht="25.5" x14ac:dyDescent="0.35">
      <c r="A87" s="313"/>
      <c r="B87" s="337" t="s">
        <v>258</v>
      </c>
      <c r="C87" s="313"/>
      <c r="D87" s="313"/>
      <c r="E87" s="313"/>
      <c r="F87" s="313">
        <f t="shared" si="2"/>
        <v>4799541</v>
      </c>
      <c r="G87" s="313"/>
      <c r="H87" s="315"/>
      <c r="I87" s="318"/>
      <c r="J87" s="315"/>
      <c r="K87" s="318"/>
      <c r="L87" s="313">
        <v>4776084</v>
      </c>
      <c r="M87" s="313"/>
      <c r="N87" s="313">
        <v>23457</v>
      </c>
      <c r="O87" s="313"/>
      <c r="P87" s="315"/>
      <c r="Q87" s="318"/>
      <c r="R87" s="313"/>
      <c r="S87" s="313"/>
      <c r="T87" s="315"/>
      <c r="V87" s="316"/>
      <c r="W87" s="316"/>
    </row>
    <row r="88" spans="1:43" s="284" customFormat="1" ht="25.5" x14ac:dyDescent="0.35">
      <c r="A88" s="313"/>
      <c r="B88" s="337" t="s">
        <v>259</v>
      </c>
      <c r="C88" s="313"/>
      <c r="D88" s="313"/>
      <c r="E88" s="313"/>
      <c r="F88" s="313">
        <f t="shared" si="2"/>
        <v>54600885</v>
      </c>
      <c r="G88" s="313"/>
      <c r="H88" s="315"/>
      <c r="I88" s="318"/>
      <c r="J88" s="315"/>
      <c r="K88" s="318"/>
      <c r="L88" s="313">
        <v>52483817</v>
      </c>
      <c r="M88" s="313"/>
      <c r="N88" s="313">
        <v>308115</v>
      </c>
      <c r="O88" s="313"/>
      <c r="P88" s="315"/>
      <c r="Q88" s="318"/>
      <c r="R88" s="313">
        <v>1808953</v>
      </c>
      <c r="S88" s="313"/>
      <c r="T88" s="315"/>
      <c r="V88" s="316"/>
      <c r="W88" s="316"/>
      <c r="X88" s="316"/>
      <c r="Y88" s="316"/>
      <c r="Z88" s="316"/>
      <c r="AA88" s="316"/>
      <c r="AB88" s="316"/>
      <c r="AC88" s="316"/>
      <c r="AD88" s="316"/>
      <c r="AE88" s="316"/>
      <c r="AF88" s="316"/>
      <c r="AG88" s="316"/>
      <c r="AH88" s="316"/>
      <c r="AI88" s="316"/>
      <c r="AJ88" s="316"/>
      <c r="AK88" s="316"/>
      <c r="AL88" s="321"/>
      <c r="AM88" s="321"/>
      <c r="AN88" s="321"/>
      <c r="AO88" s="321"/>
      <c r="AP88" s="321"/>
    </row>
    <row r="89" spans="1:43" s="284" customFormat="1" ht="25.5" x14ac:dyDescent="0.35">
      <c r="A89" s="313"/>
      <c r="B89" s="337" t="s">
        <v>260</v>
      </c>
      <c r="C89" s="313"/>
      <c r="D89" s="313"/>
      <c r="E89" s="313"/>
      <c r="F89" s="313">
        <f t="shared" si="2"/>
        <v>56118818</v>
      </c>
      <c r="G89" s="313"/>
      <c r="H89" s="315"/>
      <c r="I89" s="318"/>
      <c r="J89" s="315"/>
      <c r="K89" s="318"/>
      <c r="L89" s="313">
        <v>53698547</v>
      </c>
      <c r="M89" s="313"/>
      <c r="N89" s="313">
        <v>6652</v>
      </c>
      <c r="O89" s="313"/>
      <c r="P89" s="315"/>
      <c r="Q89" s="318"/>
      <c r="R89" s="313">
        <v>2413619</v>
      </c>
      <c r="S89" s="313"/>
      <c r="T89" s="315"/>
      <c r="V89" s="316"/>
      <c r="W89" s="316"/>
      <c r="X89" s="316"/>
      <c r="Y89" s="316"/>
      <c r="Z89" s="316"/>
      <c r="AA89" s="316"/>
      <c r="AB89" s="316"/>
      <c r="AC89" s="316"/>
      <c r="AD89" s="316"/>
      <c r="AE89" s="316"/>
      <c r="AF89" s="316"/>
      <c r="AG89" s="316"/>
      <c r="AH89" s="316"/>
      <c r="AI89" s="316"/>
      <c r="AJ89" s="316"/>
      <c r="AK89" s="316"/>
      <c r="AL89" s="321"/>
      <c r="AM89" s="321"/>
      <c r="AN89" s="321"/>
      <c r="AO89" s="321"/>
      <c r="AP89" s="321"/>
      <c r="AQ89" s="321"/>
    </row>
    <row r="90" spans="1:43" s="284" customFormat="1" ht="25.5" hidden="1" x14ac:dyDescent="0.35">
      <c r="A90" s="313"/>
      <c r="B90" s="311" t="s">
        <v>261</v>
      </c>
      <c r="C90" s="313"/>
      <c r="D90" s="313"/>
      <c r="E90" s="313"/>
      <c r="F90" s="313">
        <f t="shared" si="2"/>
        <v>0</v>
      </c>
      <c r="G90" s="313"/>
      <c r="H90" s="335"/>
      <c r="I90" s="338"/>
      <c r="J90" s="335"/>
      <c r="K90" s="318"/>
      <c r="L90" s="313"/>
      <c r="M90" s="313"/>
      <c r="N90" s="313"/>
      <c r="O90" s="313"/>
      <c r="P90" s="315"/>
      <c r="Q90" s="318"/>
      <c r="R90" s="313"/>
      <c r="S90" s="313"/>
      <c r="T90" s="315"/>
      <c r="V90" s="316"/>
      <c r="W90" s="316"/>
      <c r="X90" s="316"/>
      <c r="Y90" s="316"/>
      <c r="Z90" s="316"/>
      <c r="AA90" s="316"/>
      <c r="AB90" s="316"/>
      <c r="AC90" s="316"/>
      <c r="AD90" s="316"/>
      <c r="AE90" s="316"/>
      <c r="AF90" s="316"/>
      <c r="AG90" s="316"/>
      <c r="AH90" s="316"/>
      <c r="AI90" s="316"/>
      <c r="AJ90" s="316"/>
      <c r="AK90" s="316"/>
      <c r="AL90" s="321"/>
      <c r="AM90" s="321"/>
      <c r="AN90" s="321"/>
      <c r="AO90" s="321"/>
      <c r="AP90" s="321"/>
      <c r="AQ90" s="321"/>
    </row>
    <row r="91" spans="1:43" s="284" customFormat="1" ht="25.5" x14ac:dyDescent="0.35">
      <c r="A91" s="313"/>
      <c r="B91" s="311" t="s">
        <v>262</v>
      </c>
      <c r="C91" s="313"/>
      <c r="D91" s="313"/>
      <c r="E91" s="313"/>
      <c r="F91" s="313">
        <f t="shared" si="2"/>
        <v>205977</v>
      </c>
      <c r="G91" s="313"/>
      <c r="H91" s="335">
        <v>205977</v>
      </c>
      <c r="I91" s="318"/>
      <c r="J91" s="313"/>
      <c r="K91" s="318"/>
      <c r="L91" s="315"/>
      <c r="M91" s="313"/>
      <c r="N91" s="313"/>
      <c r="O91" s="313"/>
      <c r="P91" s="315"/>
      <c r="Q91" s="318"/>
      <c r="R91" s="313"/>
      <c r="S91" s="313"/>
      <c r="T91" s="315"/>
      <c r="V91" s="316"/>
      <c r="W91" s="316"/>
      <c r="X91" s="316"/>
    </row>
    <row r="92" spans="1:43" s="284" customFormat="1" ht="25.5" x14ac:dyDescent="0.35">
      <c r="A92" s="313"/>
      <c r="B92" s="311" t="s">
        <v>263</v>
      </c>
      <c r="C92" s="313"/>
      <c r="D92" s="313"/>
      <c r="E92" s="313"/>
      <c r="F92" s="313">
        <f t="shared" si="2"/>
        <v>4686400</v>
      </c>
      <c r="G92" s="313"/>
      <c r="H92" s="335"/>
      <c r="I92" s="338"/>
      <c r="J92" s="335"/>
      <c r="K92" s="318"/>
      <c r="L92" s="313">
        <v>4686400</v>
      </c>
      <c r="M92" s="313"/>
      <c r="N92" s="313"/>
      <c r="O92" s="313"/>
      <c r="P92" s="315"/>
      <c r="Q92" s="318"/>
      <c r="R92" s="313"/>
      <c r="S92" s="313"/>
      <c r="T92" s="315"/>
      <c r="V92" s="316"/>
      <c r="W92" s="316"/>
      <c r="X92" s="316"/>
      <c r="Y92" s="316"/>
      <c r="Z92" s="316"/>
      <c r="AA92" s="316"/>
      <c r="AB92" s="316"/>
      <c r="AC92" s="316"/>
      <c r="AD92" s="316"/>
      <c r="AE92" s="316"/>
      <c r="AF92" s="316"/>
      <c r="AG92" s="316"/>
      <c r="AH92" s="316"/>
      <c r="AI92" s="316"/>
      <c r="AJ92" s="316"/>
      <c r="AK92" s="316"/>
      <c r="AL92" s="321"/>
      <c r="AM92" s="321"/>
      <c r="AN92" s="321"/>
      <c r="AO92" s="321"/>
      <c r="AP92" s="321"/>
      <c r="AQ92" s="321"/>
    </row>
    <row r="93" spans="1:43" s="284" customFormat="1" ht="25.5" x14ac:dyDescent="0.35">
      <c r="A93" s="313"/>
      <c r="B93" s="311" t="s">
        <v>264</v>
      </c>
      <c r="C93" s="313"/>
      <c r="D93" s="313"/>
      <c r="E93" s="313"/>
      <c r="F93" s="313">
        <f t="shared" si="2"/>
        <v>827000</v>
      </c>
      <c r="G93" s="313"/>
      <c r="H93" s="335"/>
      <c r="I93" s="318"/>
      <c r="J93" s="313"/>
      <c r="K93" s="318"/>
      <c r="L93" s="313">
        <v>827000</v>
      </c>
      <c r="M93" s="313"/>
      <c r="N93" s="313"/>
      <c r="O93" s="313"/>
      <c r="P93" s="315"/>
      <c r="Q93" s="318"/>
      <c r="R93" s="313"/>
      <c r="S93" s="313"/>
      <c r="T93" s="315"/>
      <c r="V93" s="316"/>
      <c r="W93" s="316"/>
      <c r="X93" s="316"/>
    </row>
    <row r="94" spans="1:43" s="284" customFormat="1" ht="25.5" x14ac:dyDescent="0.35">
      <c r="A94" s="313"/>
      <c r="B94" s="311" t="s">
        <v>265</v>
      </c>
      <c r="C94" s="313"/>
      <c r="D94" s="313"/>
      <c r="E94" s="313"/>
      <c r="F94" s="313">
        <f t="shared" si="2"/>
        <v>360000</v>
      </c>
      <c r="G94" s="313"/>
      <c r="H94" s="335"/>
      <c r="I94" s="318"/>
      <c r="J94" s="313"/>
      <c r="K94" s="318"/>
      <c r="L94" s="313">
        <v>360000</v>
      </c>
      <c r="M94" s="313"/>
      <c r="N94" s="313"/>
      <c r="O94" s="313"/>
      <c r="P94" s="315"/>
      <c r="Q94" s="318"/>
      <c r="R94" s="313"/>
      <c r="S94" s="313"/>
      <c r="T94" s="315"/>
      <c r="V94" s="316"/>
      <c r="W94" s="316"/>
      <c r="X94" s="316"/>
    </row>
    <row r="95" spans="1:43" s="284" customFormat="1" ht="25.5" x14ac:dyDescent="0.35">
      <c r="A95" s="313"/>
      <c r="B95" s="311" t="s">
        <v>266</v>
      </c>
      <c r="C95" s="313"/>
      <c r="D95" s="313"/>
      <c r="E95" s="313"/>
      <c r="F95" s="313">
        <f t="shared" si="2"/>
        <v>18000</v>
      </c>
      <c r="G95" s="313"/>
      <c r="H95" s="335"/>
      <c r="I95" s="338"/>
      <c r="J95" s="335"/>
      <c r="K95" s="318"/>
      <c r="L95" s="313">
        <v>18000</v>
      </c>
      <c r="M95" s="313"/>
      <c r="N95" s="313"/>
      <c r="O95" s="313"/>
      <c r="P95" s="315"/>
      <c r="Q95" s="318"/>
      <c r="R95" s="313"/>
      <c r="S95" s="313"/>
      <c r="T95" s="315"/>
      <c r="V95" s="316"/>
      <c r="W95" s="316"/>
      <c r="X95" s="316"/>
      <c r="Y95" s="316"/>
      <c r="Z95" s="316"/>
      <c r="AA95" s="316"/>
      <c r="AB95" s="316"/>
      <c r="AC95" s="316"/>
      <c r="AD95" s="316"/>
      <c r="AE95" s="316"/>
      <c r="AF95" s="316"/>
      <c r="AG95" s="316"/>
      <c r="AH95" s="316"/>
      <c r="AI95" s="316"/>
      <c r="AJ95" s="316"/>
      <c r="AK95" s="316"/>
      <c r="AL95" s="321"/>
      <c r="AM95" s="321"/>
      <c r="AN95" s="321"/>
      <c r="AO95" s="321"/>
      <c r="AP95" s="321"/>
      <c r="AQ95" s="321"/>
    </row>
    <row r="96" spans="1:43" s="284" customFormat="1" ht="25.5" x14ac:dyDescent="0.35">
      <c r="A96" s="313"/>
      <c r="B96" s="311" t="s">
        <v>267</v>
      </c>
      <c r="C96" s="313"/>
      <c r="D96" s="313"/>
      <c r="E96" s="313"/>
      <c r="F96" s="313">
        <f t="shared" si="2"/>
        <v>784000</v>
      </c>
      <c r="G96" s="313"/>
      <c r="H96" s="335"/>
      <c r="I96" s="318"/>
      <c r="J96" s="313"/>
      <c r="K96" s="318"/>
      <c r="L96" s="313">
        <v>784000</v>
      </c>
      <c r="M96" s="313"/>
      <c r="N96" s="313"/>
      <c r="O96" s="313"/>
      <c r="P96" s="315"/>
      <c r="Q96" s="318"/>
      <c r="R96" s="313"/>
      <c r="S96" s="313"/>
      <c r="T96" s="315"/>
      <c r="V96" s="316"/>
      <c r="W96" s="316"/>
      <c r="X96" s="316"/>
    </row>
    <row r="97" spans="2:23" s="284" customFormat="1" ht="25.5" x14ac:dyDescent="0.35">
      <c r="B97" s="326"/>
      <c r="C97" s="324"/>
      <c r="D97" s="295"/>
      <c r="E97" s="317"/>
      <c r="F97" s="339">
        <f>SUM(F30:F96)</f>
        <v>2366579603.1800003</v>
      </c>
      <c r="G97" s="317"/>
      <c r="H97" s="339">
        <f>SUM(H30:H96)</f>
        <v>702630</v>
      </c>
      <c r="I97" s="318"/>
      <c r="J97" s="339">
        <f>SUM(J30:J96)</f>
        <v>47470192</v>
      </c>
      <c r="K97" s="318"/>
      <c r="L97" s="339">
        <f>SUM(L30:L96)</f>
        <v>2269530828</v>
      </c>
      <c r="M97" s="327"/>
      <c r="N97" s="339">
        <f>SUM(N30:N96)</f>
        <v>7705053.1799999997</v>
      </c>
      <c r="O97" s="327"/>
      <c r="P97" s="339">
        <f>SUM(P30:P96)</f>
        <v>9658690</v>
      </c>
      <c r="Q97" s="318"/>
      <c r="R97" s="339">
        <f>SUM(R30:R96)</f>
        <v>31351051</v>
      </c>
      <c r="S97" s="318"/>
      <c r="T97" s="339">
        <f>SUM(T30:T96)</f>
        <v>161159</v>
      </c>
    </row>
    <row r="98" spans="2:23" s="284" customFormat="1" ht="24.95" customHeight="1" x14ac:dyDescent="0.35">
      <c r="B98" s="295"/>
      <c r="C98" s="295"/>
      <c r="D98" s="295"/>
      <c r="E98" s="317"/>
      <c r="F98" s="327"/>
      <c r="G98" s="317"/>
      <c r="H98" s="318"/>
      <c r="I98" s="318"/>
      <c r="J98" s="318"/>
      <c r="K98" s="318"/>
      <c r="L98" s="318"/>
      <c r="M98" s="318"/>
      <c r="N98" s="318"/>
      <c r="O98" s="318"/>
      <c r="P98" s="318"/>
      <c r="Q98" s="318"/>
      <c r="R98" s="318"/>
      <c r="S98" s="320"/>
    </row>
    <row r="99" spans="2:23" s="284" customFormat="1" ht="21" customHeight="1" x14ac:dyDescent="0.35">
      <c r="B99" s="340" t="s">
        <v>268</v>
      </c>
      <c r="C99" s="295"/>
      <c r="D99" s="295"/>
      <c r="E99" s="317"/>
      <c r="F99" s="318"/>
      <c r="G99" s="317"/>
      <c r="H99" s="318"/>
      <c r="I99" s="318"/>
      <c r="J99" s="318"/>
      <c r="K99" s="318"/>
      <c r="L99" s="318"/>
      <c r="M99" s="318"/>
      <c r="N99" s="318"/>
      <c r="O99" s="318"/>
      <c r="P99" s="318"/>
      <c r="Q99" s="318"/>
      <c r="R99" s="318"/>
      <c r="S99" s="318"/>
    </row>
    <row r="100" spans="2:23" s="284" customFormat="1" ht="21" customHeight="1" x14ac:dyDescent="0.35">
      <c r="B100" s="311" t="s">
        <v>269</v>
      </c>
      <c r="C100" s="295"/>
      <c r="D100" s="295"/>
      <c r="E100" s="317"/>
      <c r="F100" s="327">
        <f t="shared" ref="F100" si="3">+H100+J100+L100+N100+R100+P100+T100</f>
        <v>11944843</v>
      </c>
      <c r="G100" s="341"/>
      <c r="H100" s="327">
        <v>10660</v>
      </c>
      <c r="I100" s="342"/>
      <c r="J100" s="327">
        <v>11934183</v>
      </c>
      <c r="K100" s="342"/>
      <c r="L100" s="327"/>
      <c r="M100" s="328"/>
      <c r="N100" s="328"/>
      <c r="O100" s="328"/>
      <c r="P100" s="328"/>
      <c r="Q100" s="342"/>
      <c r="R100" s="327"/>
      <c r="S100" s="342"/>
      <c r="T100" s="328"/>
      <c r="V100" s="316"/>
      <c r="W100" s="316"/>
    </row>
    <row r="101" spans="2:23" s="284" customFormat="1" ht="21" customHeight="1" x14ac:dyDescent="0.35">
      <c r="B101" s="311"/>
      <c r="C101" s="295"/>
      <c r="D101" s="295"/>
      <c r="E101" s="317"/>
      <c r="F101" s="313"/>
      <c r="G101" s="317"/>
      <c r="H101" s="313"/>
      <c r="I101" s="318"/>
      <c r="J101" s="313"/>
      <c r="K101" s="318"/>
      <c r="L101" s="315"/>
      <c r="M101" s="315"/>
      <c r="N101" s="315"/>
      <c r="O101" s="315"/>
      <c r="P101" s="315"/>
      <c r="Q101" s="318"/>
      <c r="R101" s="313"/>
      <c r="S101" s="318"/>
      <c r="T101" s="315"/>
      <c r="V101" s="316"/>
      <c r="W101" s="316"/>
    </row>
    <row r="102" spans="2:23" s="284" customFormat="1" ht="21" customHeight="1" x14ac:dyDescent="0.35">
      <c r="B102" s="311"/>
      <c r="C102" s="295"/>
      <c r="D102" s="295"/>
      <c r="E102" s="317"/>
      <c r="F102" s="313"/>
      <c r="G102" s="317"/>
      <c r="H102" s="313"/>
      <c r="I102" s="318"/>
      <c r="J102" s="313"/>
      <c r="K102" s="318"/>
      <c r="L102" s="315"/>
      <c r="M102" s="315"/>
      <c r="N102" s="315"/>
      <c r="O102" s="315"/>
      <c r="P102" s="315"/>
      <c r="Q102" s="318"/>
      <c r="R102" s="313"/>
      <c r="S102" s="318"/>
      <c r="T102" s="315"/>
      <c r="V102" s="316"/>
      <c r="W102" s="316"/>
    </row>
    <row r="103" spans="2:23" s="284" customFormat="1" ht="21" customHeight="1" x14ac:dyDescent="0.35">
      <c r="B103" s="311"/>
      <c r="C103" s="295"/>
      <c r="D103" s="295"/>
      <c r="E103" s="317"/>
      <c r="F103" s="313"/>
      <c r="G103" s="317"/>
      <c r="H103" s="313"/>
      <c r="I103" s="318"/>
      <c r="J103" s="313"/>
      <c r="K103" s="318"/>
      <c r="L103" s="315"/>
      <c r="M103" s="315"/>
      <c r="N103" s="315"/>
      <c r="O103" s="315"/>
      <c r="P103" s="315"/>
      <c r="Q103" s="318"/>
      <c r="R103" s="313"/>
      <c r="S103" s="318"/>
      <c r="T103" s="315"/>
      <c r="V103" s="316"/>
      <c r="W103" s="316"/>
    </row>
    <row r="104" spans="2:23" s="284" customFormat="1" ht="21" customHeight="1" x14ac:dyDescent="0.35">
      <c r="B104" s="340" t="s">
        <v>270</v>
      </c>
      <c r="C104" s="295"/>
      <c r="D104" s="295"/>
      <c r="E104" s="317"/>
      <c r="F104" s="318"/>
      <c r="G104" s="317"/>
      <c r="H104" s="318"/>
      <c r="I104" s="318"/>
      <c r="J104" s="318"/>
      <c r="K104" s="318"/>
      <c r="L104" s="318"/>
      <c r="M104" s="318"/>
      <c r="N104" s="318"/>
      <c r="O104" s="318"/>
      <c r="P104" s="318"/>
      <c r="Q104" s="318"/>
      <c r="R104" s="318"/>
      <c r="S104" s="318"/>
    </row>
    <row r="105" spans="2:23" s="284" customFormat="1" ht="21" customHeight="1" x14ac:dyDescent="0.35">
      <c r="B105" s="311" t="s">
        <v>271</v>
      </c>
      <c r="C105" s="295"/>
      <c r="D105" s="295"/>
      <c r="E105" s="317"/>
      <c r="F105" s="313">
        <f t="shared" ref="F105:F108" si="4">+H105+J105+L105+N105+R105+P105+T105</f>
        <v>563317</v>
      </c>
      <c r="G105" s="317"/>
      <c r="H105" s="313">
        <v>40556</v>
      </c>
      <c r="I105" s="318"/>
      <c r="J105" s="313">
        <v>454222</v>
      </c>
      <c r="K105" s="318"/>
      <c r="L105" s="315"/>
      <c r="M105" s="315"/>
      <c r="N105" s="315"/>
      <c r="O105" s="315"/>
      <c r="P105" s="315"/>
      <c r="Q105" s="318"/>
      <c r="R105" s="313">
        <v>68539</v>
      </c>
      <c r="S105" s="318"/>
      <c r="T105" s="315"/>
      <c r="V105" s="316"/>
      <c r="W105" s="316"/>
    </row>
    <row r="106" spans="2:23" s="284" customFormat="1" ht="21" hidden="1" customHeight="1" x14ac:dyDescent="0.35">
      <c r="B106" s="323" t="s">
        <v>272</v>
      </c>
      <c r="C106" s="295"/>
      <c r="D106" s="295"/>
      <c r="E106" s="317"/>
      <c r="F106" s="313">
        <f t="shared" si="4"/>
        <v>0</v>
      </c>
      <c r="G106" s="317"/>
      <c r="H106" s="313"/>
      <c r="I106" s="318"/>
      <c r="J106" s="313"/>
      <c r="K106" s="318"/>
      <c r="L106" s="313"/>
      <c r="M106" s="313"/>
      <c r="N106" s="313"/>
      <c r="O106" s="313"/>
      <c r="P106" s="313"/>
      <c r="Q106" s="318"/>
      <c r="R106" s="313"/>
      <c r="S106" s="318"/>
    </row>
    <row r="107" spans="2:23" s="284" customFormat="1" ht="21" hidden="1" customHeight="1" x14ac:dyDescent="0.35">
      <c r="B107" s="311" t="s">
        <v>273</v>
      </c>
      <c r="C107" s="295"/>
      <c r="D107" s="295"/>
      <c r="E107" s="317"/>
      <c r="F107" s="313">
        <f t="shared" si="4"/>
        <v>0</v>
      </c>
      <c r="G107" s="317"/>
      <c r="H107" s="313"/>
      <c r="I107" s="318"/>
      <c r="J107" s="313"/>
      <c r="K107" s="318"/>
      <c r="L107" s="313"/>
      <c r="M107" s="313"/>
      <c r="N107" s="313"/>
      <c r="O107" s="313"/>
      <c r="P107" s="313"/>
      <c r="Q107" s="318"/>
      <c r="R107" s="313"/>
      <c r="S107" s="318"/>
    </row>
    <row r="108" spans="2:23" s="284" customFormat="1" ht="21" hidden="1" customHeight="1" x14ac:dyDescent="0.35">
      <c r="B108" s="311" t="s">
        <v>261</v>
      </c>
      <c r="C108" s="295"/>
      <c r="D108" s="295"/>
      <c r="E108" s="317"/>
      <c r="F108" s="313">
        <f t="shared" si="4"/>
        <v>0</v>
      </c>
      <c r="G108" s="317"/>
      <c r="H108" s="313"/>
      <c r="I108" s="318"/>
      <c r="J108" s="313"/>
      <c r="K108" s="318"/>
      <c r="L108" s="313"/>
      <c r="M108" s="313"/>
      <c r="N108" s="313"/>
      <c r="O108" s="313"/>
      <c r="P108" s="313"/>
      <c r="Q108" s="318"/>
      <c r="R108" s="313"/>
      <c r="S108" s="318"/>
    </row>
    <row r="109" spans="2:23" s="284" customFormat="1" ht="21.75" customHeight="1" x14ac:dyDescent="0.35">
      <c r="B109" s="311" t="s">
        <v>270</v>
      </c>
      <c r="D109" s="295"/>
      <c r="E109" s="317"/>
      <c r="F109" s="313">
        <f>+H109+J109+L109+N109+R109+P109+T109</f>
        <v>19417376</v>
      </c>
      <c r="G109" s="317"/>
      <c r="H109" s="313">
        <v>5446084</v>
      </c>
      <c r="I109" s="318"/>
      <c r="J109" s="313">
        <v>12053458</v>
      </c>
      <c r="K109" s="318"/>
      <c r="L109" s="313"/>
      <c r="M109" s="313"/>
      <c r="N109" s="313"/>
      <c r="O109" s="313"/>
      <c r="P109" s="313"/>
      <c r="Q109" s="318"/>
      <c r="R109" s="313">
        <v>1917834</v>
      </c>
      <c r="S109" s="320"/>
    </row>
    <row r="110" spans="2:23" s="284" customFormat="1" ht="9" customHeight="1" x14ac:dyDescent="0.35">
      <c r="B110" s="311"/>
      <c r="C110" s="295"/>
      <c r="D110" s="295"/>
      <c r="E110" s="317"/>
      <c r="F110" s="325"/>
      <c r="G110" s="317"/>
      <c r="H110" s="325"/>
      <c r="I110" s="318"/>
      <c r="J110" s="325"/>
      <c r="K110" s="318"/>
      <c r="L110" s="325"/>
      <c r="M110" s="318"/>
      <c r="N110" s="325"/>
      <c r="O110" s="318"/>
      <c r="P110" s="325"/>
      <c r="Q110" s="318"/>
      <c r="R110" s="325"/>
      <c r="S110" s="318"/>
      <c r="T110" s="325"/>
    </row>
    <row r="111" spans="2:23" s="284" customFormat="1" ht="25.5" customHeight="1" x14ac:dyDescent="0.35">
      <c r="B111" s="295"/>
      <c r="C111" s="295"/>
      <c r="D111" s="295"/>
      <c r="E111" s="317"/>
      <c r="F111" s="327">
        <f>SUM(F105:F109)</f>
        <v>19980693</v>
      </c>
      <c r="G111" s="317"/>
      <c r="H111" s="327">
        <f>SUM(H105:H109)</f>
        <v>5486640</v>
      </c>
      <c r="I111" s="318"/>
      <c r="J111" s="327">
        <f>SUM(J105:J109)</f>
        <v>12507680</v>
      </c>
      <c r="K111" s="318"/>
      <c r="L111" s="328">
        <f>SUM(L105:L109)</f>
        <v>0</v>
      </c>
      <c r="M111" s="327"/>
      <c r="N111" s="328">
        <f>SUM(N105:N109)</f>
        <v>0</v>
      </c>
      <c r="O111" s="327"/>
      <c r="P111" s="328">
        <f>SUM(P105:P109)</f>
        <v>0</v>
      </c>
      <c r="Q111" s="318"/>
      <c r="R111" s="327">
        <f>SUM(R105:R109)</f>
        <v>1986373</v>
      </c>
      <c r="S111" s="318"/>
      <c r="T111" s="328">
        <f>SUM(T105:T109)</f>
        <v>0</v>
      </c>
    </row>
    <row r="112" spans="2:23" s="344" customFormat="1" x14ac:dyDescent="0.4">
      <c r="B112" s="340" t="s">
        <v>274</v>
      </c>
      <c r="C112" s="343"/>
      <c r="D112" s="343"/>
      <c r="E112" s="341"/>
      <c r="F112" s="327"/>
      <c r="G112" s="341"/>
      <c r="H112" s="327"/>
      <c r="I112" s="342"/>
      <c r="J112" s="327"/>
      <c r="K112" s="342"/>
      <c r="L112" s="327"/>
      <c r="M112" s="327"/>
      <c r="N112" s="327"/>
      <c r="O112" s="327"/>
      <c r="P112" s="327"/>
      <c r="Q112" s="342"/>
      <c r="R112" s="327"/>
      <c r="S112" s="342"/>
      <c r="T112" s="327"/>
    </row>
    <row r="113" spans="1:255" s="284" customFormat="1" ht="21" customHeight="1" x14ac:dyDescent="0.35">
      <c r="B113" s="323" t="s">
        <v>275</v>
      </c>
      <c r="C113" s="295"/>
      <c r="D113" s="295"/>
      <c r="E113" s="317"/>
      <c r="F113" s="313">
        <f t="shared" ref="F113:F118" si="5">+H113+J113+L113+N113+R113+P113+T113</f>
        <v>20532982</v>
      </c>
      <c r="G113" s="317"/>
      <c r="H113" s="313">
        <v>2255989</v>
      </c>
      <c r="I113" s="318"/>
      <c r="J113" s="313">
        <v>15826935</v>
      </c>
      <c r="K113" s="318"/>
      <c r="L113" s="315"/>
      <c r="M113" s="315"/>
      <c r="N113" s="315"/>
      <c r="O113" s="315"/>
      <c r="P113" s="315"/>
      <c r="Q113" s="318"/>
      <c r="R113" s="313">
        <v>2450058</v>
      </c>
      <c r="S113" s="318"/>
      <c r="T113" s="315"/>
      <c r="V113" s="316"/>
    </row>
    <row r="114" spans="1:255" s="284" customFormat="1" ht="21" customHeight="1" x14ac:dyDescent="0.35">
      <c r="B114" s="311" t="s">
        <v>274</v>
      </c>
      <c r="C114" s="295"/>
      <c r="D114" s="295"/>
      <c r="E114" s="317"/>
      <c r="F114" s="313">
        <f t="shared" si="5"/>
        <v>969113232</v>
      </c>
      <c r="G114" s="317"/>
      <c r="H114" s="313">
        <v>90203343</v>
      </c>
      <c r="I114" s="318"/>
      <c r="J114" s="313">
        <v>763556203</v>
      </c>
      <c r="K114" s="318"/>
      <c r="L114" s="315"/>
      <c r="M114" s="315"/>
      <c r="N114" s="315"/>
      <c r="O114" s="315"/>
      <c r="P114" s="315"/>
      <c r="Q114" s="318"/>
      <c r="R114" s="313">
        <v>115353686</v>
      </c>
      <c r="S114" s="318"/>
      <c r="T114" s="315"/>
      <c r="V114" s="316"/>
      <c r="W114" s="316"/>
      <c r="X114" s="316"/>
      <c r="Y114" s="316"/>
      <c r="Z114" s="316"/>
      <c r="AA114" s="316"/>
      <c r="AB114" s="316"/>
      <c r="AC114" s="316"/>
      <c r="AD114" s="316"/>
    </row>
    <row r="115" spans="1:255" s="284" customFormat="1" ht="21" customHeight="1" x14ac:dyDescent="0.35">
      <c r="B115" s="311" t="s">
        <v>276</v>
      </c>
      <c r="C115" s="295"/>
      <c r="D115" s="295"/>
      <c r="E115" s="317"/>
      <c r="F115" s="313">
        <f t="shared" si="5"/>
        <v>19417562</v>
      </c>
      <c r="G115" s="317"/>
      <c r="H115" s="313">
        <v>2858513</v>
      </c>
      <c r="I115" s="318"/>
      <c r="J115" s="313">
        <v>14339017</v>
      </c>
      <c r="K115" s="318"/>
      <c r="L115" s="315"/>
      <c r="M115" s="315"/>
      <c r="N115" s="315"/>
      <c r="O115" s="315"/>
      <c r="P115" s="315"/>
      <c r="Q115" s="318"/>
      <c r="R115" s="313">
        <v>2220032</v>
      </c>
      <c r="S115" s="318"/>
      <c r="T115" s="315"/>
      <c r="V115" s="316"/>
      <c r="W115" s="316"/>
      <c r="X115" s="316"/>
    </row>
    <row r="116" spans="1:255" s="284" customFormat="1" ht="20.45" customHeight="1" x14ac:dyDescent="0.35">
      <c r="A116" s="345"/>
      <c r="B116" s="323" t="s">
        <v>277</v>
      </c>
      <c r="C116" s="345"/>
      <c r="D116" s="345"/>
      <c r="E116" s="345"/>
      <c r="F116" s="313">
        <f t="shared" si="5"/>
        <v>146713710</v>
      </c>
      <c r="G116" s="345"/>
      <c r="H116" s="313">
        <v>13725540</v>
      </c>
      <c r="I116" s="318"/>
      <c r="J116" s="313">
        <v>115588349</v>
      </c>
      <c r="K116" s="318"/>
      <c r="L116" s="315"/>
      <c r="M116" s="315"/>
      <c r="N116" s="315"/>
      <c r="O116" s="315"/>
      <c r="P116" s="315"/>
      <c r="Q116" s="318"/>
      <c r="R116" s="313">
        <v>17399821</v>
      </c>
      <c r="S116" s="318"/>
      <c r="T116" s="315"/>
      <c r="U116" s="345"/>
      <c r="V116" s="316"/>
      <c r="W116" s="316"/>
      <c r="X116" s="316"/>
      <c r="Y116" s="316"/>
      <c r="Z116" s="345"/>
      <c r="AA116" s="345"/>
      <c r="AB116" s="345"/>
      <c r="AC116" s="345"/>
      <c r="AD116" s="345"/>
      <c r="AE116" s="345"/>
      <c r="AF116" s="345"/>
      <c r="AG116" s="345"/>
      <c r="AH116" s="345"/>
      <c r="AI116" s="345"/>
      <c r="AJ116" s="345"/>
      <c r="AK116" s="345"/>
      <c r="AL116" s="345"/>
      <c r="AM116" s="345"/>
      <c r="AN116" s="345"/>
      <c r="AO116" s="345"/>
      <c r="AP116" s="345"/>
      <c r="AQ116" s="345"/>
      <c r="AR116" s="345"/>
      <c r="AS116" s="345"/>
      <c r="AT116" s="345"/>
      <c r="AU116" s="345"/>
      <c r="AV116" s="345"/>
      <c r="AW116" s="345"/>
      <c r="AX116" s="345"/>
      <c r="AY116" s="345"/>
      <c r="AZ116" s="345"/>
      <c r="BA116" s="345"/>
      <c r="BB116" s="345"/>
      <c r="BC116" s="345"/>
      <c r="BD116" s="345"/>
      <c r="BE116" s="345"/>
      <c r="BF116" s="345"/>
      <c r="BG116" s="345"/>
      <c r="BH116" s="345"/>
      <c r="BI116" s="345"/>
      <c r="BJ116" s="345"/>
      <c r="BK116" s="345"/>
      <c r="BL116" s="345"/>
      <c r="BM116" s="345"/>
      <c r="BN116" s="345"/>
      <c r="BO116" s="345"/>
      <c r="BP116" s="345"/>
      <c r="BQ116" s="345"/>
      <c r="BR116" s="345"/>
      <c r="BS116" s="345"/>
      <c r="BT116" s="345"/>
      <c r="BU116" s="345"/>
      <c r="BV116" s="345"/>
      <c r="BW116" s="345"/>
      <c r="BX116" s="345"/>
      <c r="BY116" s="345"/>
      <c r="BZ116" s="345"/>
      <c r="CA116" s="345"/>
      <c r="CB116" s="345"/>
      <c r="CC116" s="345"/>
      <c r="CD116" s="345"/>
      <c r="CE116" s="345"/>
      <c r="CF116" s="345"/>
      <c r="CG116" s="345"/>
      <c r="CH116" s="345"/>
      <c r="CI116" s="345"/>
      <c r="CJ116" s="345"/>
      <c r="CK116" s="345"/>
      <c r="CL116" s="345"/>
      <c r="CM116" s="345"/>
      <c r="CN116" s="345"/>
      <c r="CO116" s="345"/>
      <c r="CP116" s="345"/>
      <c r="CQ116" s="345"/>
      <c r="CR116" s="345"/>
      <c r="CS116" s="345"/>
      <c r="CT116" s="345"/>
      <c r="CU116" s="345"/>
      <c r="CV116" s="345"/>
      <c r="CW116" s="345"/>
      <c r="CX116" s="345"/>
      <c r="CY116" s="345"/>
      <c r="CZ116" s="345"/>
      <c r="DA116" s="345"/>
      <c r="DB116" s="345"/>
      <c r="DC116" s="345"/>
      <c r="DD116" s="345"/>
      <c r="DE116" s="345"/>
      <c r="DF116" s="345"/>
      <c r="DG116" s="345"/>
      <c r="DH116" s="345"/>
      <c r="DI116" s="345"/>
      <c r="DJ116" s="345"/>
      <c r="DK116" s="345"/>
      <c r="DL116" s="345"/>
      <c r="DM116" s="345"/>
      <c r="DN116" s="345"/>
      <c r="DO116" s="345"/>
      <c r="DP116" s="345"/>
      <c r="DQ116" s="345"/>
      <c r="DR116" s="345"/>
      <c r="DS116" s="345"/>
      <c r="DT116" s="345"/>
      <c r="DU116" s="345"/>
      <c r="DV116" s="345"/>
      <c r="DW116" s="345"/>
      <c r="DX116" s="345"/>
      <c r="DY116" s="345"/>
      <c r="DZ116" s="345"/>
      <c r="EA116" s="345"/>
      <c r="EB116" s="345"/>
      <c r="EC116" s="345"/>
      <c r="ED116" s="345"/>
      <c r="EE116" s="345"/>
      <c r="EF116" s="345"/>
      <c r="EG116" s="345"/>
      <c r="EH116" s="345"/>
      <c r="EI116" s="345"/>
      <c r="EJ116" s="345"/>
      <c r="EK116" s="345"/>
      <c r="EL116" s="345"/>
      <c r="EM116" s="345"/>
      <c r="EN116" s="345"/>
      <c r="EO116" s="345"/>
      <c r="EP116" s="345"/>
      <c r="EQ116" s="345"/>
      <c r="ER116" s="345"/>
      <c r="ES116" s="345"/>
      <c r="ET116" s="345"/>
      <c r="EU116" s="345"/>
      <c r="EV116" s="345"/>
      <c r="EW116" s="345"/>
      <c r="EX116" s="345"/>
      <c r="EY116" s="345"/>
      <c r="EZ116" s="345"/>
      <c r="FA116" s="345"/>
      <c r="FB116" s="345"/>
      <c r="FC116" s="345"/>
      <c r="FD116" s="345"/>
      <c r="FE116" s="345"/>
      <c r="FF116" s="345"/>
      <c r="FG116" s="345"/>
      <c r="FH116" s="345"/>
      <c r="FI116" s="345"/>
      <c r="FJ116" s="345"/>
      <c r="FK116" s="345"/>
      <c r="FL116" s="345"/>
      <c r="FM116" s="345"/>
      <c r="FN116" s="345"/>
      <c r="FO116" s="345"/>
      <c r="FP116" s="345"/>
      <c r="FQ116" s="345"/>
      <c r="FR116" s="345"/>
      <c r="FS116" s="345"/>
      <c r="FT116" s="345"/>
      <c r="FU116" s="345"/>
      <c r="FV116" s="345"/>
      <c r="FW116" s="345"/>
      <c r="FX116" s="345"/>
      <c r="FY116" s="345"/>
      <c r="FZ116" s="345"/>
      <c r="GA116" s="345"/>
      <c r="GB116" s="345"/>
      <c r="GC116" s="345"/>
      <c r="GD116" s="345"/>
      <c r="GE116" s="345"/>
      <c r="GF116" s="345"/>
      <c r="GG116" s="345"/>
      <c r="GH116" s="345"/>
      <c r="GI116" s="345"/>
      <c r="GJ116" s="345"/>
      <c r="GK116" s="345"/>
      <c r="GL116" s="345"/>
      <c r="GM116" s="345"/>
      <c r="GN116" s="345"/>
      <c r="GO116" s="345"/>
      <c r="GP116" s="345"/>
      <c r="GQ116" s="345"/>
      <c r="GR116" s="345"/>
      <c r="GS116" s="345"/>
      <c r="GT116" s="345"/>
      <c r="GU116" s="345"/>
      <c r="GV116" s="345"/>
      <c r="GW116" s="345"/>
      <c r="GX116" s="345"/>
      <c r="GY116" s="345"/>
      <c r="GZ116" s="345"/>
      <c r="HA116" s="345"/>
      <c r="HB116" s="345"/>
      <c r="HC116" s="345"/>
      <c r="HD116" s="345"/>
      <c r="HE116" s="345"/>
      <c r="HF116" s="345"/>
      <c r="HG116" s="345"/>
      <c r="HH116" s="345"/>
      <c r="HI116" s="345"/>
      <c r="HJ116" s="345"/>
      <c r="HK116" s="345"/>
      <c r="HL116" s="345"/>
      <c r="HM116" s="345"/>
      <c r="HN116" s="345"/>
      <c r="HO116" s="345"/>
      <c r="HP116" s="345"/>
      <c r="HQ116" s="345"/>
      <c r="HR116" s="345"/>
      <c r="HS116" s="345"/>
      <c r="HT116" s="345"/>
      <c r="HU116" s="345"/>
      <c r="HV116" s="345"/>
      <c r="HW116" s="345"/>
      <c r="HX116" s="345"/>
      <c r="HY116" s="345"/>
      <c r="HZ116" s="345"/>
      <c r="IA116" s="345"/>
      <c r="IB116" s="345"/>
      <c r="IC116" s="345"/>
      <c r="ID116" s="345"/>
      <c r="IE116" s="345"/>
      <c r="IF116" s="345"/>
      <c r="IG116" s="345"/>
      <c r="IH116" s="345"/>
      <c r="II116" s="345"/>
      <c r="IJ116" s="345"/>
      <c r="IK116" s="345"/>
      <c r="IL116" s="345"/>
      <c r="IM116" s="345"/>
      <c r="IN116" s="345"/>
      <c r="IO116" s="345"/>
      <c r="IP116" s="345"/>
      <c r="IQ116" s="345"/>
      <c r="IR116" s="345"/>
      <c r="IS116" s="345"/>
      <c r="IT116" s="345"/>
      <c r="IU116" s="345"/>
    </row>
    <row r="117" spans="1:255" s="284" customFormat="1" ht="20.45" customHeight="1" x14ac:dyDescent="0.35">
      <c r="A117" s="345"/>
      <c r="B117" s="323" t="s">
        <v>278</v>
      </c>
      <c r="C117" s="345"/>
      <c r="D117" s="345"/>
      <c r="E117" s="345"/>
      <c r="F117" s="313">
        <f t="shared" si="5"/>
        <v>49071555</v>
      </c>
      <c r="G117" s="345"/>
      <c r="H117" s="313">
        <v>11123238</v>
      </c>
      <c r="I117" s="318"/>
      <c r="J117" s="313">
        <v>31742864</v>
      </c>
      <c r="K117" s="318"/>
      <c r="L117" s="315"/>
      <c r="M117" s="315"/>
      <c r="N117" s="315"/>
      <c r="O117" s="315"/>
      <c r="P117" s="315"/>
      <c r="Q117" s="318"/>
      <c r="R117" s="313">
        <v>6205453</v>
      </c>
      <c r="S117" s="318"/>
      <c r="T117" s="315"/>
      <c r="U117" s="345"/>
      <c r="V117" s="316"/>
      <c r="W117" s="316"/>
      <c r="X117" s="316"/>
      <c r="Y117" s="316"/>
      <c r="Z117" s="345"/>
      <c r="AA117" s="345"/>
      <c r="AB117" s="345"/>
      <c r="AC117" s="345"/>
      <c r="AD117" s="345"/>
      <c r="AE117" s="345"/>
      <c r="AF117" s="345"/>
      <c r="AG117" s="345"/>
      <c r="AH117" s="345"/>
      <c r="AI117" s="345"/>
      <c r="AJ117" s="345"/>
      <c r="AK117" s="345"/>
      <c r="AL117" s="345"/>
      <c r="AM117" s="345"/>
      <c r="AN117" s="345"/>
      <c r="AO117" s="345"/>
      <c r="AP117" s="345"/>
      <c r="AQ117" s="345"/>
      <c r="AR117" s="345"/>
      <c r="AS117" s="345"/>
      <c r="AT117" s="345"/>
      <c r="AU117" s="345"/>
      <c r="AV117" s="345"/>
      <c r="AW117" s="345"/>
      <c r="AX117" s="345"/>
      <c r="AY117" s="345"/>
      <c r="AZ117" s="345"/>
      <c r="BA117" s="345"/>
      <c r="BB117" s="345"/>
      <c r="BC117" s="345"/>
      <c r="BD117" s="345"/>
      <c r="BE117" s="345"/>
      <c r="BF117" s="345"/>
      <c r="BG117" s="345"/>
      <c r="BH117" s="345"/>
      <c r="BI117" s="345"/>
      <c r="BJ117" s="345"/>
      <c r="BK117" s="345"/>
      <c r="BL117" s="345"/>
      <c r="BM117" s="345"/>
      <c r="BN117" s="345"/>
      <c r="BO117" s="345"/>
      <c r="BP117" s="345"/>
      <c r="BQ117" s="345"/>
      <c r="BR117" s="345"/>
      <c r="BS117" s="345"/>
      <c r="BT117" s="345"/>
      <c r="BU117" s="345"/>
      <c r="BV117" s="345"/>
      <c r="BW117" s="345"/>
      <c r="BX117" s="345"/>
      <c r="BY117" s="345"/>
      <c r="BZ117" s="345"/>
      <c r="CA117" s="345"/>
      <c r="CB117" s="345"/>
      <c r="CC117" s="345"/>
      <c r="CD117" s="345"/>
      <c r="CE117" s="345"/>
      <c r="CF117" s="345"/>
      <c r="CG117" s="345"/>
      <c r="CH117" s="345"/>
      <c r="CI117" s="345"/>
      <c r="CJ117" s="345"/>
      <c r="CK117" s="345"/>
      <c r="CL117" s="345"/>
      <c r="CM117" s="345"/>
      <c r="CN117" s="345"/>
      <c r="CO117" s="345"/>
      <c r="CP117" s="345"/>
      <c r="CQ117" s="345"/>
      <c r="CR117" s="345"/>
      <c r="CS117" s="345"/>
      <c r="CT117" s="345"/>
      <c r="CU117" s="345"/>
      <c r="CV117" s="345"/>
      <c r="CW117" s="345"/>
      <c r="CX117" s="345"/>
      <c r="CY117" s="345"/>
      <c r="CZ117" s="345"/>
      <c r="DA117" s="345"/>
      <c r="DB117" s="345"/>
      <c r="DC117" s="345"/>
      <c r="DD117" s="345"/>
      <c r="DE117" s="345"/>
      <c r="DF117" s="345"/>
      <c r="DG117" s="345"/>
      <c r="DH117" s="345"/>
      <c r="DI117" s="345"/>
      <c r="DJ117" s="345"/>
      <c r="DK117" s="345"/>
      <c r="DL117" s="345"/>
      <c r="DM117" s="345"/>
      <c r="DN117" s="345"/>
      <c r="DO117" s="345"/>
      <c r="DP117" s="345"/>
      <c r="DQ117" s="345"/>
      <c r="DR117" s="345"/>
      <c r="DS117" s="345"/>
      <c r="DT117" s="345"/>
      <c r="DU117" s="345"/>
      <c r="DV117" s="345"/>
      <c r="DW117" s="345"/>
      <c r="DX117" s="345"/>
      <c r="DY117" s="345"/>
      <c r="DZ117" s="345"/>
      <c r="EA117" s="345"/>
      <c r="EB117" s="345"/>
      <c r="EC117" s="345"/>
      <c r="ED117" s="345"/>
      <c r="EE117" s="345"/>
      <c r="EF117" s="345"/>
      <c r="EG117" s="345"/>
      <c r="EH117" s="345"/>
      <c r="EI117" s="345"/>
      <c r="EJ117" s="345"/>
      <c r="EK117" s="345"/>
      <c r="EL117" s="345"/>
      <c r="EM117" s="345"/>
      <c r="EN117" s="345"/>
      <c r="EO117" s="345"/>
      <c r="EP117" s="345"/>
      <c r="EQ117" s="345"/>
      <c r="ER117" s="345"/>
      <c r="ES117" s="345"/>
      <c r="ET117" s="345"/>
      <c r="EU117" s="345"/>
      <c r="EV117" s="345"/>
      <c r="EW117" s="345"/>
      <c r="EX117" s="345"/>
      <c r="EY117" s="345"/>
      <c r="EZ117" s="345"/>
      <c r="FA117" s="345"/>
      <c r="FB117" s="345"/>
      <c r="FC117" s="345"/>
      <c r="FD117" s="345"/>
      <c r="FE117" s="345"/>
      <c r="FF117" s="345"/>
      <c r="FG117" s="345"/>
      <c r="FH117" s="345"/>
      <c r="FI117" s="345"/>
      <c r="FJ117" s="345"/>
      <c r="FK117" s="345"/>
      <c r="FL117" s="345"/>
      <c r="FM117" s="345"/>
      <c r="FN117" s="345"/>
      <c r="FO117" s="345"/>
      <c r="FP117" s="345"/>
      <c r="FQ117" s="345"/>
      <c r="FR117" s="345"/>
      <c r="FS117" s="345"/>
      <c r="FT117" s="345"/>
      <c r="FU117" s="345"/>
      <c r="FV117" s="345"/>
      <c r="FW117" s="345"/>
      <c r="FX117" s="345"/>
      <c r="FY117" s="345"/>
      <c r="FZ117" s="345"/>
      <c r="GA117" s="345"/>
      <c r="GB117" s="345"/>
      <c r="GC117" s="345"/>
      <c r="GD117" s="345"/>
      <c r="GE117" s="345"/>
      <c r="GF117" s="345"/>
      <c r="GG117" s="345"/>
      <c r="GH117" s="345"/>
      <c r="GI117" s="345"/>
      <c r="GJ117" s="345"/>
      <c r="GK117" s="345"/>
      <c r="GL117" s="345"/>
      <c r="GM117" s="345"/>
      <c r="GN117" s="345"/>
      <c r="GO117" s="345"/>
      <c r="GP117" s="345"/>
      <c r="GQ117" s="345"/>
      <c r="GR117" s="345"/>
      <c r="GS117" s="345"/>
      <c r="GT117" s="345"/>
      <c r="GU117" s="345"/>
      <c r="GV117" s="345"/>
      <c r="GW117" s="345"/>
      <c r="GX117" s="345"/>
      <c r="GY117" s="345"/>
      <c r="GZ117" s="345"/>
      <c r="HA117" s="345"/>
      <c r="HB117" s="345"/>
      <c r="HC117" s="345"/>
      <c r="HD117" s="345"/>
      <c r="HE117" s="345"/>
      <c r="HF117" s="345"/>
      <c r="HG117" s="345"/>
      <c r="HH117" s="345"/>
      <c r="HI117" s="345"/>
      <c r="HJ117" s="345"/>
      <c r="HK117" s="345"/>
      <c r="HL117" s="345"/>
      <c r="HM117" s="345"/>
      <c r="HN117" s="345"/>
      <c r="HO117" s="345"/>
      <c r="HP117" s="345"/>
      <c r="HQ117" s="345"/>
      <c r="HR117" s="345"/>
      <c r="HS117" s="345"/>
      <c r="HT117" s="345"/>
      <c r="HU117" s="345"/>
      <c r="HV117" s="345"/>
      <c r="HW117" s="345"/>
      <c r="HX117" s="345"/>
      <c r="HY117" s="345"/>
      <c r="HZ117" s="345"/>
      <c r="IA117" s="345"/>
      <c r="IB117" s="345"/>
      <c r="IC117" s="345"/>
      <c r="ID117" s="345"/>
      <c r="IE117" s="345"/>
      <c r="IF117" s="345"/>
      <c r="IG117" s="345"/>
      <c r="IH117" s="345"/>
      <c r="II117" s="345"/>
      <c r="IJ117" s="345"/>
      <c r="IK117" s="345"/>
      <c r="IL117" s="345"/>
      <c r="IM117" s="345"/>
      <c r="IN117" s="345"/>
      <c r="IO117" s="345"/>
      <c r="IP117" s="345"/>
      <c r="IQ117" s="345"/>
      <c r="IR117" s="345"/>
      <c r="IS117" s="345"/>
      <c r="IT117" s="345"/>
      <c r="IU117" s="345"/>
    </row>
    <row r="118" spans="1:255" s="284" customFormat="1" ht="21" customHeight="1" x14ac:dyDescent="0.35">
      <c r="B118" s="311" t="s">
        <v>279</v>
      </c>
      <c r="C118" s="295"/>
      <c r="D118" s="295"/>
      <c r="E118" s="317"/>
      <c r="F118" s="313">
        <f t="shared" si="5"/>
        <v>3225203.44</v>
      </c>
      <c r="G118" s="317"/>
      <c r="H118" s="313">
        <v>777810</v>
      </c>
      <c r="I118" s="318"/>
      <c r="J118" s="313">
        <v>1961411</v>
      </c>
      <c r="K118" s="318"/>
      <c r="L118" s="313"/>
      <c r="M118" s="313"/>
      <c r="N118" s="313"/>
      <c r="O118" s="313"/>
      <c r="P118" s="313"/>
      <c r="Q118" s="318"/>
      <c r="R118" s="313">
        <v>485982.44</v>
      </c>
      <c r="S118" s="318"/>
      <c r="T118" s="315"/>
      <c r="V118" s="316"/>
      <c r="W118" s="316"/>
      <c r="X118" s="316"/>
      <c r="Y118" s="316"/>
    </row>
    <row r="119" spans="1:255" s="284" customFormat="1" ht="9" customHeight="1" x14ac:dyDescent="0.35">
      <c r="B119" s="311"/>
      <c r="C119" s="295"/>
      <c r="D119" s="295"/>
      <c r="E119" s="317"/>
      <c r="F119" s="325"/>
      <c r="G119" s="318"/>
      <c r="H119" s="325"/>
      <c r="I119" s="318"/>
      <c r="J119" s="325"/>
      <c r="K119" s="318"/>
      <c r="L119" s="325"/>
      <c r="M119" s="318"/>
      <c r="N119" s="325"/>
      <c r="O119" s="318"/>
      <c r="P119" s="325"/>
      <c r="Q119" s="318"/>
      <c r="R119" s="325"/>
      <c r="S119" s="318"/>
      <c r="T119" s="325"/>
      <c r="U119" s="318"/>
    </row>
    <row r="120" spans="1:255" s="344" customFormat="1" ht="21" customHeight="1" x14ac:dyDescent="0.4">
      <c r="B120" s="346"/>
      <c r="C120" s="343"/>
      <c r="D120" s="343"/>
      <c r="E120" s="341"/>
      <c r="F120" s="327">
        <f>SUM(F112:F118)</f>
        <v>1208074244.4400001</v>
      </c>
      <c r="G120" s="341"/>
      <c r="H120" s="327">
        <f>SUM(H112:H118)</f>
        <v>120944433</v>
      </c>
      <c r="I120" s="342"/>
      <c r="J120" s="327">
        <f>SUM(J112:J118)</f>
        <v>943014779</v>
      </c>
      <c r="K120" s="342"/>
      <c r="L120" s="328">
        <f>SUM(L112:L118)</f>
        <v>0</v>
      </c>
      <c r="M120" s="327"/>
      <c r="N120" s="328">
        <f>SUM(N112:N118)</f>
        <v>0</v>
      </c>
      <c r="O120" s="327"/>
      <c r="P120" s="328">
        <f>SUM(P112:P118)</f>
        <v>0</v>
      </c>
      <c r="Q120" s="342"/>
      <c r="R120" s="327">
        <f>SUM(R112:R118)</f>
        <v>144115032.44</v>
      </c>
      <c r="S120" s="342"/>
      <c r="T120" s="328">
        <f>SUM(T112:T118)</f>
        <v>0</v>
      </c>
    </row>
    <row r="121" spans="1:255" s="284" customFormat="1" ht="9" customHeight="1" x14ac:dyDescent="0.35">
      <c r="B121" s="347"/>
      <c r="C121" s="347"/>
      <c r="D121" s="347"/>
      <c r="E121" s="348"/>
      <c r="F121" s="349"/>
      <c r="G121" s="348"/>
      <c r="H121" s="349"/>
      <c r="I121" s="349"/>
      <c r="J121" s="349"/>
      <c r="K121" s="349"/>
      <c r="L121" s="349"/>
      <c r="M121" s="349"/>
      <c r="N121" s="349"/>
      <c r="O121" s="349"/>
      <c r="P121" s="349"/>
      <c r="Q121" s="349"/>
      <c r="R121" s="349"/>
      <c r="S121" s="350"/>
      <c r="T121" s="288"/>
    </row>
    <row r="122" spans="1:255" s="284" customFormat="1" ht="25.5" x14ac:dyDescent="0.35">
      <c r="B122" s="340" t="s">
        <v>280</v>
      </c>
      <c r="C122" s="295"/>
      <c r="D122" s="295"/>
      <c r="E122" s="317"/>
      <c r="F122" s="313"/>
      <c r="G122" s="317"/>
      <c r="H122" s="313"/>
      <c r="I122" s="318"/>
      <c r="J122" s="313"/>
      <c r="K122" s="318"/>
      <c r="L122" s="313"/>
      <c r="M122" s="313"/>
      <c r="N122" s="313"/>
      <c r="O122" s="313"/>
      <c r="P122" s="313"/>
      <c r="Q122" s="318"/>
      <c r="R122" s="313"/>
      <c r="S122" s="320"/>
    </row>
    <row r="123" spans="1:255" s="284" customFormat="1" ht="25.5" x14ac:dyDescent="0.35">
      <c r="B123" s="311" t="s">
        <v>281</v>
      </c>
      <c r="C123" s="295"/>
      <c r="D123" s="295"/>
      <c r="E123" s="317"/>
      <c r="F123" s="313">
        <f>+H123+J123+L123+N123+R123+P123+T123</f>
        <v>3088300.35</v>
      </c>
      <c r="G123" s="317"/>
      <c r="H123" s="313">
        <v>335197</v>
      </c>
      <c r="I123" s="318"/>
      <c r="J123" s="313">
        <v>2393306</v>
      </c>
      <c r="K123" s="318"/>
      <c r="L123" s="315"/>
      <c r="M123" s="315"/>
      <c r="N123" s="315"/>
      <c r="O123" s="315"/>
      <c r="P123" s="315"/>
      <c r="Q123" s="318"/>
      <c r="R123" s="313">
        <v>359797.35</v>
      </c>
      <c r="S123" s="318"/>
      <c r="T123" s="315"/>
      <c r="V123" s="316"/>
      <c r="W123" s="316"/>
      <c r="X123" s="316"/>
      <c r="Y123" s="316"/>
    </row>
    <row r="124" spans="1:255" s="284" customFormat="1" ht="25.5" x14ac:dyDescent="0.35">
      <c r="B124" s="311" t="s">
        <v>282</v>
      </c>
      <c r="C124" s="295"/>
      <c r="D124" s="295"/>
      <c r="E124" s="317"/>
      <c r="F124" s="313">
        <f t="shared" ref="F124:F143" si="6">+H124+J124+L124+N124+R124+P124+T124</f>
        <v>4607933.51</v>
      </c>
      <c r="G124" s="317"/>
      <c r="H124" s="313">
        <v>219591</v>
      </c>
      <c r="I124" s="318"/>
      <c r="J124" s="313">
        <v>3724941.51</v>
      </c>
      <c r="K124" s="318"/>
      <c r="L124" s="315"/>
      <c r="M124" s="315"/>
      <c r="N124" s="315"/>
      <c r="O124" s="315"/>
      <c r="P124" s="315"/>
      <c r="Q124" s="318"/>
      <c r="R124" s="313">
        <v>663401</v>
      </c>
      <c r="S124" s="318"/>
      <c r="T124" s="315"/>
      <c r="V124" s="316"/>
      <c r="W124" s="316"/>
    </row>
    <row r="125" spans="1:255" s="284" customFormat="1" ht="25.5" x14ac:dyDescent="0.35">
      <c r="B125" s="311" t="s">
        <v>283</v>
      </c>
      <c r="C125" s="295"/>
      <c r="D125" s="295"/>
      <c r="E125" s="317"/>
      <c r="F125" s="313">
        <f t="shared" si="6"/>
        <v>8322354</v>
      </c>
      <c r="G125" s="317"/>
      <c r="H125" s="313">
        <f>199012+7784</f>
        <v>206796</v>
      </c>
      <c r="I125" s="318"/>
      <c r="J125" s="313">
        <f>6668551+95987-2</f>
        <v>6764536</v>
      </c>
      <c r="K125" s="318"/>
      <c r="L125" s="315"/>
      <c r="M125" s="315"/>
      <c r="N125" s="351"/>
      <c r="O125" s="315"/>
      <c r="P125" s="315"/>
      <c r="Q125" s="318"/>
      <c r="R125" s="313">
        <f>1339043+11979</f>
        <v>1351022</v>
      </c>
      <c r="S125" s="318"/>
      <c r="T125" s="315"/>
      <c r="V125" s="316"/>
      <c r="W125" s="316"/>
      <c r="X125" s="316"/>
      <c r="Y125" s="316"/>
      <c r="Z125" s="316"/>
      <c r="AA125" s="316"/>
      <c r="AB125" s="316"/>
      <c r="AC125" s="316"/>
      <c r="AD125" s="316"/>
      <c r="AE125" s="316"/>
    </row>
    <row r="126" spans="1:255" s="284" customFormat="1" ht="25.5" x14ac:dyDescent="0.35">
      <c r="B126" s="311" t="s">
        <v>284</v>
      </c>
      <c r="C126" s="295"/>
      <c r="D126" s="295"/>
      <c r="E126" s="317"/>
      <c r="F126" s="313">
        <f t="shared" si="6"/>
        <v>2614561</v>
      </c>
      <c r="G126" s="317"/>
      <c r="H126" s="313">
        <v>749524</v>
      </c>
      <c r="I126" s="318"/>
      <c r="J126" s="313">
        <v>1614666</v>
      </c>
      <c r="K126" s="318"/>
      <c r="L126" s="315"/>
      <c r="M126" s="315"/>
      <c r="N126" s="315"/>
      <c r="O126" s="315"/>
      <c r="P126" s="315"/>
      <c r="Q126" s="318"/>
      <c r="R126" s="313">
        <v>250371</v>
      </c>
      <c r="S126" s="318"/>
      <c r="T126" s="315"/>
      <c r="V126" s="316"/>
    </row>
    <row r="127" spans="1:255" s="284" customFormat="1" ht="25.5" x14ac:dyDescent="0.35">
      <c r="B127" s="311" t="s">
        <v>285</v>
      </c>
      <c r="C127" s="295"/>
      <c r="D127" s="295"/>
      <c r="E127" s="317"/>
      <c r="F127" s="313">
        <f t="shared" si="6"/>
        <v>5571562</v>
      </c>
      <c r="G127" s="317"/>
      <c r="H127" s="313">
        <v>634240</v>
      </c>
      <c r="I127" s="318"/>
      <c r="J127" s="313">
        <v>4244428</v>
      </c>
      <c r="K127" s="318"/>
      <c r="L127" s="315"/>
      <c r="M127" s="315"/>
      <c r="N127" s="315"/>
      <c r="O127" s="315"/>
      <c r="P127" s="315"/>
      <c r="Q127" s="318"/>
      <c r="R127" s="313">
        <v>692894</v>
      </c>
      <c r="S127" s="318"/>
      <c r="T127" s="315"/>
      <c r="V127" s="316"/>
      <c r="W127" s="316"/>
      <c r="X127" s="316"/>
      <c r="Y127" s="316"/>
      <c r="Z127" s="316"/>
      <c r="AA127" s="316"/>
    </row>
    <row r="128" spans="1:255" s="284" customFormat="1" ht="25.5" x14ac:dyDescent="0.35">
      <c r="B128" s="311" t="s">
        <v>286</v>
      </c>
      <c r="C128" s="295"/>
      <c r="D128" s="295"/>
      <c r="E128" s="317"/>
      <c r="F128" s="313">
        <f t="shared" si="6"/>
        <v>209224164</v>
      </c>
      <c r="G128" s="317"/>
      <c r="H128" s="313">
        <v>34902</v>
      </c>
      <c r="I128" s="318"/>
      <c r="J128" s="313">
        <v>177629961</v>
      </c>
      <c r="K128" s="318"/>
      <c r="L128" s="315"/>
      <c r="M128" s="315"/>
      <c r="N128" s="315"/>
      <c r="O128" s="315"/>
      <c r="P128" s="315"/>
      <c r="Q128" s="318"/>
      <c r="R128" s="313">
        <v>31559301</v>
      </c>
      <c r="S128" s="318"/>
      <c r="T128" s="315"/>
      <c r="V128" s="316"/>
      <c r="W128" s="316"/>
      <c r="X128" s="316"/>
      <c r="Y128" s="316"/>
    </row>
    <row r="129" spans="2:32" s="284" customFormat="1" ht="25.5" x14ac:dyDescent="0.35">
      <c r="B129" s="311" t="s">
        <v>287</v>
      </c>
      <c r="C129" s="295"/>
      <c r="D129" s="295"/>
      <c r="E129" s="317"/>
      <c r="F129" s="313">
        <f t="shared" si="6"/>
        <v>138412584</v>
      </c>
      <c r="G129" s="317"/>
      <c r="H129" s="313">
        <v>2182</v>
      </c>
      <c r="I129" s="318"/>
      <c r="J129" s="313">
        <v>119794846</v>
      </c>
      <c r="K129" s="318"/>
      <c r="L129" s="315"/>
      <c r="M129" s="315"/>
      <c r="N129" s="315"/>
      <c r="O129" s="315"/>
      <c r="P129" s="315"/>
      <c r="Q129" s="318"/>
      <c r="R129" s="313">
        <v>18615556</v>
      </c>
      <c r="S129" s="318"/>
      <c r="T129" s="315"/>
      <c r="V129" s="316"/>
      <c r="W129" s="316"/>
      <c r="X129" s="316"/>
    </row>
    <row r="130" spans="2:32" s="284" customFormat="1" ht="25.5" hidden="1" x14ac:dyDescent="0.35">
      <c r="B130" s="311" t="s">
        <v>288</v>
      </c>
      <c r="C130" s="295"/>
      <c r="D130" s="295"/>
      <c r="E130" s="317"/>
      <c r="F130" s="313">
        <f t="shared" si="6"/>
        <v>0</v>
      </c>
      <c r="G130" s="317"/>
      <c r="H130" s="313"/>
      <c r="I130" s="318"/>
      <c r="J130" s="313"/>
      <c r="K130" s="318"/>
      <c r="L130" s="313"/>
      <c r="M130" s="313"/>
      <c r="N130" s="313"/>
      <c r="O130" s="313"/>
      <c r="P130" s="313"/>
      <c r="Q130" s="318"/>
      <c r="R130" s="313"/>
      <c r="S130" s="320"/>
    </row>
    <row r="131" spans="2:32" s="284" customFormat="1" ht="25.5" x14ac:dyDescent="0.35">
      <c r="B131" s="311" t="s">
        <v>289</v>
      </c>
      <c r="C131" s="295"/>
      <c r="D131" s="295"/>
      <c r="E131" s="317"/>
      <c r="F131" s="313">
        <f t="shared" si="6"/>
        <v>4033919</v>
      </c>
      <c r="G131" s="317"/>
      <c r="H131" s="313">
        <v>585841</v>
      </c>
      <c r="I131" s="318"/>
      <c r="J131" s="313">
        <v>2409264</v>
      </c>
      <c r="K131" s="318"/>
      <c r="L131" s="315"/>
      <c r="M131" s="315"/>
      <c r="N131" s="315"/>
      <c r="O131" s="315"/>
      <c r="P131" s="315"/>
      <c r="Q131" s="318"/>
      <c r="R131" s="313">
        <v>1038814</v>
      </c>
      <c r="S131" s="318"/>
      <c r="T131" s="315"/>
      <c r="V131" s="316"/>
      <c r="W131" s="316"/>
      <c r="X131" s="316"/>
      <c r="Y131" s="316"/>
      <c r="Z131" s="316"/>
    </row>
    <row r="132" spans="2:32" s="284" customFormat="1" ht="25.5" x14ac:dyDescent="0.35">
      <c r="B132" s="311" t="s">
        <v>290</v>
      </c>
      <c r="C132" s="295"/>
      <c r="D132" s="295"/>
      <c r="E132" s="317"/>
      <c r="F132" s="313">
        <f t="shared" si="6"/>
        <v>6008056</v>
      </c>
      <c r="G132" s="317"/>
      <c r="H132" s="313">
        <v>3869476</v>
      </c>
      <c r="I132" s="318"/>
      <c r="J132" s="313">
        <v>1802541</v>
      </c>
      <c r="K132" s="318"/>
      <c r="L132" s="315"/>
      <c r="M132" s="315"/>
      <c r="N132" s="315"/>
      <c r="O132" s="315"/>
      <c r="P132" s="315"/>
      <c r="Q132" s="318"/>
      <c r="R132" s="313">
        <v>336039</v>
      </c>
      <c r="S132" s="318"/>
      <c r="T132" s="315"/>
      <c r="V132" s="316"/>
      <c r="W132" s="316"/>
      <c r="X132" s="316"/>
      <c r="Y132" s="316"/>
    </row>
    <row r="133" spans="2:32" s="284" customFormat="1" ht="25.5" x14ac:dyDescent="0.35">
      <c r="B133" s="311" t="s">
        <v>291</v>
      </c>
      <c r="C133" s="295"/>
      <c r="D133" s="295"/>
      <c r="E133" s="317"/>
      <c r="F133" s="313">
        <f t="shared" si="6"/>
        <v>825340</v>
      </c>
      <c r="G133" s="317"/>
      <c r="H133" s="313">
        <v>699340</v>
      </c>
      <c r="I133" s="318"/>
      <c r="J133" s="313">
        <v>109620</v>
      </c>
      <c r="K133" s="318"/>
      <c r="L133" s="315"/>
      <c r="M133" s="315"/>
      <c r="N133" s="315"/>
      <c r="O133" s="315"/>
      <c r="P133" s="315"/>
      <c r="Q133" s="318"/>
      <c r="R133" s="313">
        <v>16380</v>
      </c>
      <c r="S133" s="318"/>
      <c r="T133" s="315"/>
      <c r="V133" s="316"/>
      <c r="W133" s="316"/>
    </row>
    <row r="134" spans="2:32" s="284" customFormat="1" ht="25.5" x14ac:dyDescent="0.35">
      <c r="B134" s="311" t="s">
        <v>292</v>
      </c>
      <c r="C134" s="295"/>
      <c r="D134" s="295"/>
      <c r="E134" s="317"/>
      <c r="F134" s="313">
        <f t="shared" si="6"/>
        <v>9619464</v>
      </c>
      <c r="G134" s="317"/>
      <c r="H134" s="313">
        <v>473832</v>
      </c>
      <c r="I134" s="318"/>
      <c r="J134" s="313">
        <v>7539715</v>
      </c>
      <c r="K134" s="318"/>
      <c r="L134" s="315"/>
      <c r="M134" s="315"/>
      <c r="N134" s="315"/>
      <c r="O134" s="315"/>
      <c r="P134" s="315"/>
      <c r="Q134" s="318"/>
      <c r="R134" s="313">
        <v>1605917</v>
      </c>
      <c r="S134" s="318"/>
      <c r="T134" s="315"/>
      <c r="V134" s="316"/>
      <c r="W134" s="316"/>
      <c r="X134" s="316"/>
      <c r="Y134" s="316"/>
      <c r="Z134" s="316"/>
      <c r="AA134" s="316"/>
      <c r="AB134" s="316"/>
    </row>
    <row r="135" spans="2:32" s="284" customFormat="1" ht="25.5" x14ac:dyDescent="0.35">
      <c r="B135" s="311" t="s">
        <v>293</v>
      </c>
      <c r="C135" s="295"/>
      <c r="D135" s="295"/>
      <c r="E135" s="317"/>
      <c r="F135" s="313">
        <f t="shared" si="6"/>
        <v>4400567</v>
      </c>
      <c r="G135" s="317"/>
      <c r="H135" s="313">
        <v>1609270</v>
      </c>
      <c r="I135" s="318"/>
      <c r="J135" s="313">
        <f>2206755+7</f>
        <v>2206762</v>
      </c>
      <c r="K135" s="318"/>
      <c r="L135" s="315"/>
      <c r="M135" s="315"/>
      <c r="N135" s="315"/>
      <c r="O135" s="315"/>
      <c r="P135" s="315"/>
      <c r="Q135" s="318"/>
      <c r="R135" s="313">
        <v>584535</v>
      </c>
      <c r="S135" s="318"/>
      <c r="T135" s="315"/>
      <c r="V135" s="316"/>
      <c r="W135" s="316"/>
      <c r="X135" s="316"/>
      <c r="Y135" s="316"/>
      <c r="Z135" s="316"/>
      <c r="AA135" s="316"/>
    </row>
    <row r="136" spans="2:32" s="284" customFormat="1" ht="25.5" x14ac:dyDescent="0.35">
      <c r="B136" s="311" t="s">
        <v>294</v>
      </c>
      <c r="C136" s="295"/>
      <c r="D136" s="295"/>
      <c r="E136" s="317"/>
      <c r="F136" s="313">
        <f t="shared" si="6"/>
        <v>42840630</v>
      </c>
      <c r="G136" s="317"/>
      <c r="H136" s="313">
        <v>2349474</v>
      </c>
      <c r="I136" s="318"/>
      <c r="J136" s="313">
        <v>34968993</v>
      </c>
      <c r="K136" s="318"/>
      <c r="L136" s="315"/>
      <c r="M136" s="315"/>
      <c r="N136" s="315"/>
      <c r="O136" s="315"/>
      <c r="P136" s="315"/>
      <c r="Q136" s="318"/>
      <c r="R136" s="313">
        <v>5522163</v>
      </c>
      <c r="S136" s="318"/>
      <c r="T136" s="315"/>
      <c r="V136" s="316"/>
      <c r="W136" s="316"/>
      <c r="X136" s="316"/>
    </row>
    <row r="137" spans="2:32" s="284" customFormat="1" ht="25.5" hidden="1" x14ac:dyDescent="0.35">
      <c r="B137" s="311" t="s">
        <v>261</v>
      </c>
      <c r="C137" s="295"/>
      <c r="D137" s="295"/>
      <c r="E137" s="317"/>
      <c r="F137" s="313">
        <f t="shared" si="6"/>
        <v>0</v>
      </c>
      <c r="G137" s="317"/>
      <c r="H137" s="313"/>
      <c r="I137" s="318"/>
      <c r="J137" s="313"/>
      <c r="K137" s="318"/>
      <c r="L137" s="315"/>
      <c r="M137" s="315"/>
      <c r="N137" s="315"/>
      <c r="O137" s="315"/>
      <c r="P137" s="315"/>
      <c r="Q137" s="318"/>
      <c r="R137" s="313"/>
      <c r="S137" s="318"/>
      <c r="T137" s="315"/>
      <c r="V137" s="316"/>
      <c r="W137" s="316"/>
      <c r="X137" s="316"/>
      <c r="Y137" s="316"/>
      <c r="Z137" s="316"/>
    </row>
    <row r="138" spans="2:32" s="284" customFormat="1" ht="25.5" x14ac:dyDescent="0.35">
      <c r="B138" s="311" t="s">
        <v>295</v>
      </c>
      <c r="C138" s="295"/>
      <c r="D138" s="295"/>
      <c r="E138" s="317"/>
      <c r="F138" s="313">
        <f t="shared" si="6"/>
        <v>1824776</v>
      </c>
      <c r="G138" s="317"/>
      <c r="H138" s="313">
        <v>1663897</v>
      </c>
      <c r="I138" s="318"/>
      <c r="J138" s="313">
        <v>115553</v>
      </c>
      <c r="K138" s="318"/>
      <c r="L138" s="315"/>
      <c r="M138" s="315"/>
      <c r="N138" s="315"/>
      <c r="O138" s="315"/>
      <c r="P138" s="315"/>
      <c r="Q138" s="318"/>
      <c r="R138" s="313">
        <v>45326</v>
      </c>
      <c r="S138" s="318"/>
      <c r="T138" s="315"/>
      <c r="V138" s="316"/>
      <c r="W138" s="316"/>
      <c r="X138" s="316"/>
      <c r="Y138" s="316"/>
      <c r="Z138" s="316"/>
    </row>
    <row r="139" spans="2:32" s="284" customFormat="1" ht="25.5" x14ac:dyDescent="0.35">
      <c r="B139" s="311" t="s">
        <v>296</v>
      </c>
      <c r="C139" s="295"/>
      <c r="D139" s="295"/>
      <c r="E139" s="317"/>
      <c r="F139" s="313">
        <f t="shared" si="6"/>
        <v>69252197</v>
      </c>
      <c r="G139" s="317"/>
      <c r="H139" s="313">
        <v>2234498</v>
      </c>
      <c r="I139" s="318"/>
      <c r="J139" s="313">
        <v>58025538</v>
      </c>
      <c r="K139" s="318"/>
      <c r="L139" s="313"/>
      <c r="M139" s="315"/>
      <c r="N139" s="351"/>
      <c r="O139" s="315"/>
      <c r="P139" s="315"/>
      <c r="Q139" s="318"/>
      <c r="R139" s="313">
        <v>8992161</v>
      </c>
      <c r="S139" s="318"/>
      <c r="T139" s="315"/>
      <c r="V139" s="316"/>
      <c r="W139" s="316"/>
      <c r="X139" s="316"/>
      <c r="Y139" s="316"/>
      <c r="Z139" s="316"/>
      <c r="AA139" s="316"/>
      <c r="AB139" s="316"/>
      <c r="AC139" s="316"/>
      <c r="AD139" s="316"/>
      <c r="AE139" s="316"/>
      <c r="AF139" s="316"/>
    </row>
    <row r="140" spans="2:32" s="284" customFormat="1" ht="25.5" x14ac:dyDescent="0.35">
      <c r="B140" s="311" t="s">
        <v>297</v>
      </c>
      <c r="C140" s="295"/>
      <c r="D140" s="295"/>
      <c r="E140" s="317"/>
      <c r="F140" s="313">
        <f t="shared" si="6"/>
        <v>43937934</v>
      </c>
      <c r="G140" s="317"/>
      <c r="H140" s="313">
        <f>146028+942335</f>
        <v>1088363</v>
      </c>
      <c r="I140" s="318"/>
      <c r="J140" s="313">
        <f>199979+36685731</f>
        <v>36885710</v>
      </c>
      <c r="K140" s="318"/>
      <c r="L140" s="313"/>
      <c r="M140" s="313"/>
      <c r="N140" s="313"/>
      <c r="O140" s="313"/>
      <c r="P140" s="313"/>
      <c r="Q140" s="318"/>
      <c r="R140" s="313">
        <f>57485+5906376</f>
        <v>5963861</v>
      </c>
      <c r="S140" s="318"/>
      <c r="T140" s="315"/>
      <c r="V140" s="316"/>
      <c r="W140" s="316"/>
      <c r="X140" s="316"/>
      <c r="Y140" s="316"/>
      <c r="Z140" s="316"/>
      <c r="AA140" s="316"/>
      <c r="AB140" s="316"/>
      <c r="AC140" s="316"/>
      <c r="AD140" s="316"/>
    </row>
    <row r="141" spans="2:32" s="284" customFormat="1" x14ac:dyDescent="0.4">
      <c r="B141" s="311"/>
      <c r="C141" s="295"/>
      <c r="D141" s="295"/>
      <c r="E141" s="317"/>
      <c r="F141" s="339">
        <f>SUM(F123:F140)</f>
        <v>554584341.86000001</v>
      </c>
      <c r="G141" s="341"/>
      <c r="H141" s="339">
        <f>SUM(H123:H140)</f>
        <v>16756423</v>
      </c>
      <c r="I141" s="342"/>
      <c r="J141" s="339">
        <f>SUM(J123:J140)</f>
        <v>460230380.50999999</v>
      </c>
      <c r="K141" s="342"/>
      <c r="L141" s="352">
        <f>SUM(L123:L140)</f>
        <v>0</v>
      </c>
      <c r="M141" s="328"/>
      <c r="N141" s="352">
        <f>SUM(N123:N140)</f>
        <v>0</v>
      </c>
      <c r="O141" s="328"/>
      <c r="P141" s="352">
        <f>SUM(P123:P140)</f>
        <v>0</v>
      </c>
      <c r="Q141" s="342"/>
      <c r="R141" s="339">
        <f>SUM(R123:R140)</f>
        <v>77597538.349999994</v>
      </c>
      <c r="S141" s="353"/>
      <c r="T141" s="352"/>
    </row>
    <row r="142" spans="2:32" s="284" customFormat="1" ht="25.5" x14ac:dyDescent="0.35">
      <c r="B142" s="310" t="s">
        <v>298</v>
      </c>
      <c r="C142" s="295"/>
      <c r="D142" s="295"/>
      <c r="E142" s="317"/>
      <c r="F142" s="313"/>
      <c r="G142" s="317"/>
      <c r="H142" s="313"/>
      <c r="I142" s="318"/>
      <c r="J142" s="313"/>
      <c r="K142" s="318"/>
      <c r="L142" s="313"/>
      <c r="M142" s="313"/>
      <c r="N142" s="313"/>
      <c r="O142" s="313"/>
      <c r="P142" s="313"/>
      <c r="Q142" s="318"/>
      <c r="R142" s="313"/>
      <c r="S142" s="320"/>
    </row>
    <row r="143" spans="2:32" s="284" customFormat="1" ht="25.5" x14ac:dyDescent="0.35">
      <c r="B143" s="311" t="s">
        <v>299</v>
      </c>
      <c r="C143" s="295"/>
      <c r="D143" s="295"/>
      <c r="E143" s="317"/>
      <c r="F143" s="313">
        <f t="shared" si="6"/>
        <v>11175905</v>
      </c>
      <c r="G143" s="317"/>
      <c r="H143" s="313">
        <f>377676+23911</f>
        <v>401587</v>
      </c>
      <c r="I143" s="318"/>
      <c r="J143" s="313"/>
      <c r="K143" s="318"/>
      <c r="L143" s="313">
        <v>5884745</v>
      </c>
      <c r="M143" s="313"/>
      <c r="N143" s="354">
        <v>4830993</v>
      </c>
      <c r="O143" s="313"/>
      <c r="P143" s="354"/>
      <c r="Q143" s="318"/>
      <c r="R143" s="313">
        <v>58580</v>
      </c>
      <c r="S143" s="320"/>
    </row>
    <row r="144" spans="2:32" s="284" customFormat="1" ht="25.5" x14ac:dyDescent="0.35">
      <c r="B144" s="295"/>
      <c r="C144" s="326"/>
      <c r="D144" s="295"/>
      <c r="E144" s="317"/>
      <c r="F144" s="339">
        <f>SUM(F143:F143)</f>
        <v>11175905</v>
      </c>
      <c r="G144" s="318"/>
      <c r="H144" s="339">
        <f>SUM(H143:H143)</f>
        <v>401587</v>
      </c>
      <c r="I144" s="318"/>
      <c r="J144" s="339"/>
      <c r="K144" s="318"/>
      <c r="L144" s="339">
        <f>SUM(L143:L143)</f>
        <v>5884745</v>
      </c>
      <c r="M144" s="327"/>
      <c r="N144" s="339">
        <f>SUM(N143:N143)</f>
        <v>4830993</v>
      </c>
      <c r="O144" s="327"/>
      <c r="P144" s="328">
        <f>SUM(P143:P143)</f>
        <v>0</v>
      </c>
      <c r="Q144" s="318"/>
      <c r="R144" s="339">
        <f>SUM(R143:R143)</f>
        <v>58580</v>
      </c>
      <c r="S144" s="320"/>
      <c r="T144" s="352">
        <f>SUM(T143:T143)</f>
        <v>0</v>
      </c>
    </row>
    <row r="145" spans="2:20" s="284" customFormat="1" ht="9" customHeight="1" x14ac:dyDescent="0.35">
      <c r="B145" s="295"/>
      <c r="C145" s="295"/>
      <c r="D145" s="295"/>
      <c r="E145" s="317"/>
      <c r="F145" s="318"/>
      <c r="G145" s="317"/>
      <c r="H145" s="318"/>
      <c r="I145" s="318"/>
      <c r="J145" s="318"/>
      <c r="K145" s="318"/>
      <c r="L145" s="318"/>
      <c r="M145" s="318"/>
      <c r="N145" s="318"/>
      <c r="O145" s="318"/>
      <c r="P145" s="318"/>
      <c r="Q145" s="318"/>
      <c r="R145" s="318"/>
      <c r="S145" s="320"/>
    </row>
    <row r="146" spans="2:20" s="344" customFormat="1" x14ac:dyDescent="0.4">
      <c r="B146" s="355" t="s">
        <v>300</v>
      </c>
      <c r="C146" s="343"/>
      <c r="D146" s="343"/>
      <c r="E146" s="341"/>
      <c r="F146" s="327">
        <f>+H146+J146+L146+N146+R146+P146+T146</f>
        <v>59544249</v>
      </c>
      <c r="G146" s="341"/>
      <c r="H146" s="327">
        <v>6462734</v>
      </c>
      <c r="I146" s="342"/>
      <c r="J146" s="327">
        <v>52366282</v>
      </c>
      <c r="K146" s="342"/>
      <c r="L146" s="327">
        <v>108315</v>
      </c>
      <c r="M146" s="327"/>
      <c r="N146" s="327"/>
      <c r="O146" s="327"/>
      <c r="P146" s="327"/>
      <c r="Q146" s="342"/>
      <c r="R146" s="327">
        <v>606918</v>
      </c>
      <c r="S146" s="353"/>
    </row>
    <row r="147" spans="2:20" s="284" customFormat="1" ht="9" customHeight="1" x14ac:dyDescent="0.35">
      <c r="B147" s="295"/>
      <c r="C147" s="295"/>
      <c r="D147" s="295"/>
      <c r="E147" s="317"/>
      <c r="F147" s="356"/>
      <c r="G147" s="317"/>
      <c r="H147" s="356"/>
      <c r="I147" s="318"/>
      <c r="J147" s="356"/>
      <c r="K147" s="318"/>
      <c r="L147" s="356"/>
      <c r="M147" s="356"/>
      <c r="N147" s="356"/>
      <c r="O147" s="356"/>
      <c r="P147" s="356"/>
      <c r="Q147" s="318"/>
      <c r="R147" s="356"/>
      <c r="S147" s="320"/>
    </row>
    <row r="148" spans="2:20" s="284" customFormat="1" ht="25.5" x14ac:dyDescent="0.35">
      <c r="B148" s="331" t="s">
        <v>301</v>
      </c>
      <c r="C148" s="295"/>
      <c r="D148" s="295"/>
      <c r="E148" s="317"/>
      <c r="F148" s="339">
        <f>+F146+F144+F120+F111+F97+F141+F100</f>
        <v>4231883879.4800005</v>
      </c>
      <c r="G148" s="318"/>
      <c r="H148" s="339">
        <f>+H146+H144+H120+H111+H97+H141+H100</f>
        <v>150765107</v>
      </c>
      <c r="I148" s="318"/>
      <c r="J148" s="339">
        <f>+J146+J144+J120+J111+J97+J141+J100</f>
        <v>1527523496.51</v>
      </c>
      <c r="K148" s="318"/>
      <c r="L148" s="339">
        <f>+L146+L144+L120+L111+L97+L141+L100</f>
        <v>2275523888</v>
      </c>
      <c r="M148" s="327"/>
      <c r="N148" s="339">
        <f>+N146+N144+N120+N111+N97+N141+N100</f>
        <v>12536046.18</v>
      </c>
      <c r="O148" s="327"/>
      <c r="P148" s="339">
        <f>+P146+P144+P120+P111+P97+P141+P100</f>
        <v>9658690</v>
      </c>
      <c r="Q148" s="318"/>
      <c r="R148" s="339">
        <f>+R146+R144+R120+R111+R97+R141+R100</f>
        <v>255715492.78999999</v>
      </c>
      <c r="S148" s="320"/>
      <c r="T148" s="339">
        <f>+T146+T144+T120+T111+T97+T141+T100</f>
        <v>161159</v>
      </c>
    </row>
    <row r="149" spans="2:20" ht="20.25" customHeight="1" x14ac:dyDescent="0.4">
      <c r="B149" s="357"/>
      <c r="C149" s="357"/>
      <c r="D149" s="357"/>
      <c r="E149" s="358"/>
      <c r="F149" s="359"/>
      <c r="G149" s="358"/>
      <c r="H149" s="359"/>
      <c r="I149" s="359"/>
      <c r="J149" s="359"/>
      <c r="K149" s="359"/>
      <c r="L149" s="359"/>
      <c r="M149" s="359"/>
      <c r="N149" s="359"/>
      <c r="O149" s="359"/>
      <c r="P149" s="359"/>
      <c r="Q149" s="359"/>
      <c r="R149" s="359"/>
      <c r="S149" s="360"/>
      <c r="T149" s="286"/>
    </row>
    <row r="150" spans="2:20" ht="20.25" customHeight="1" x14ac:dyDescent="0.4">
      <c r="B150" s="357"/>
      <c r="C150" s="357"/>
      <c r="D150" s="357"/>
      <c r="E150" s="358"/>
      <c r="F150" s="359"/>
      <c r="G150" s="358"/>
      <c r="H150" s="359"/>
      <c r="I150" s="359"/>
      <c r="J150" s="359"/>
      <c r="K150" s="359"/>
      <c r="L150" s="359"/>
      <c r="M150" s="359"/>
      <c r="N150" s="359"/>
      <c r="O150" s="359"/>
      <c r="P150" s="359"/>
      <c r="Q150" s="359"/>
      <c r="R150" s="359"/>
      <c r="S150" s="360"/>
      <c r="T150" s="286"/>
    </row>
    <row r="151" spans="2:20" ht="20.25" customHeight="1" x14ac:dyDescent="0.4">
      <c r="B151" s="357"/>
      <c r="C151" s="357"/>
      <c r="D151" s="357"/>
      <c r="E151" s="358"/>
      <c r="F151" s="359"/>
      <c r="G151" s="358"/>
      <c r="H151" s="359"/>
      <c r="I151" s="359"/>
      <c r="J151" s="359"/>
      <c r="K151" s="359"/>
      <c r="L151" s="359"/>
      <c r="M151" s="359"/>
      <c r="N151" s="359"/>
      <c r="O151" s="359"/>
      <c r="P151" s="359"/>
      <c r="Q151" s="359"/>
      <c r="R151" s="359"/>
      <c r="S151" s="360"/>
      <c r="T151" s="286"/>
    </row>
    <row r="152" spans="2:20" ht="24.6" customHeight="1" x14ac:dyDescent="0.4">
      <c r="B152" s="357"/>
      <c r="C152" s="357"/>
      <c r="D152" s="357"/>
      <c r="E152" s="358"/>
      <c r="F152" s="359"/>
      <c r="G152" s="358"/>
      <c r="H152" s="359"/>
      <c r="I152" s="359"/>
      <c r="J152" s="359"/>
      <c r="K152" s="359"/>
      <c r="L152" s="359"/>
      <c r="M152" s="359"/>
      <c r="N152" s="359"/>
      <c r="O152" s="359"/>
      <c r="P152" s="359"/>
      <c r="Q152" s="359"/>
      <c r="R152" s="359"/>
      <c r="S152" s="360"/>
      <c r="T152" s="286"/>
    </row>
    <row r="153" spans="2:20" s="284" customFormat="1" ht="25.5" x14ac:dyDescent="0.35">
      <c r="B153" s="332" t="s">
        <v>302</v>
      </c>
      <c r="C153" s="295"/>
      <c r="D153" s="295"/>
      <c r="E153" s="317"/>
      <c r="F153" s="318"/>
      <c r="G153" s="317"/>
      <c r="H153" s="318"/>
      <c r="I153" s="318"/>
      <c r="J153" s="318"/>
      <c r="K153" s="318"/>
      <c r="L153" s="318"/>
      <c r="M153" s="318"/>
      <c r="N153" s="318"/>
      <c r="O153" s="318"/>
      <c r="P153" s="318"/>
      <c r="Q153" s="318"/>
      <c r="R153" s="318"/>
      <c r="S153" s="320"/>
    </row>
    <row r="154" spans="2:20" s="284" customFormat="1" ht="25.5" x14ac:dyDescent="0.35">
      <c r="B154" s="310" t="s">
        <v>303</v>
      </c>
      <c r="C154" s="295"/>
      <c r="D154" s="295"/>
      <c r="E154" s="317"/>
      <c r="F154" s="318"/>
      <c r="G154" s="317"/>
      <c r="H154" s="318"/>
      <c r="I154" s="318"/>
      <c r="J154" s="318"/>
      <c r="K154" s="318"/>
      <c r="L154" s="318"/>
      <c r="M154" s="318"/>
      <c r="N154" s="318"/>
      <c r="O154" s="318"/>
      <c r="P154" s="318"/>
      <c r="Q154" s="318"/>
      <c r="R154" s="318"/>
      <c r="S154" s="320"/>
    </row>
    <row r="155" spans="2:20" s="284" customFormat="1" ht="25.5" x14ac:dyDescent="0.35">
      <c r="B155" s="323" t="s">
        <v>304</v>
      </c>
      <c r="C155" s="295"/>
      <c r="D155" s="295"/>
      <c r="E155" s="317"/>
      <c r="F155" s="313">
        <f>+H155+J155+L155+N155+R155+P155+T155</f>
        <v>62322909</v>
      </c>
      <c r="G155" s="317"/>
      <c r="H155" s="313">
        <f>696824+73565</f>
        <v>770389</v>
      </c>
      <c r="I155" s="313"/>
      <c r="J155" s="313"/>
      <c r="K155" s="313"/>
      <c r="L155" s="313">
        <v>26867186</v>
      </c>
      <c r="M155" s="313"/>
      <c r="N155" s="313">
        <f>24690140+9995194</f>
        <v>34685334</v>
      </c>
      <c r="O155" s="313"/>
      <c r="P155" s="313"/>
      <c r="Q155" s="313"/>
      <c r="R155" s="313"/>
      <c r="S155" s="313"/>
      <c r="T155" s="313"/>
    </row>
    <row r="156" spans="2:20" s="284" customFormat="1" ht="25.5" x14ac:dyDescent="0.35">
      <c r="B156" s="323" t="s">
        <v>305</v>
      </c>
      <c r="C156" s="295"/>
      <c r="D156" s="295"/>
      <c r="E156" s="317"/>
      <c r="F156" s="313">
        <f t="shared" ref="F156:F179" si="7">+H156+J156+L156+N156+R156+P156+T156</f>
        <v>49552725</v>
      </c>
      <c r="G156" s="317"/>
      <c r="H156" s="313">
        <f>435074+32509</f>
        <v>467583</v>
      </c>
      <c r="I156" s="313"/>
      <c r="J156" s="313"/>
      <c r="K156" s="313"/>
      <c r="L156" s="313">
        <v>1083500</v>
      </c>
      <c r="M156" s="313"/>
      <c r="N156" s="313">
        <v>46111526</v>
      </c>
      <c r="O156" s="313"/>
      <c r="P156" s="313"/>
      <c r="Q156" s="313"/>
      <c r="R156" s="313">
        <v>1890116</v>
      </c>
      <c r="S156" s="313"/>
      <c r="T156" s="313"/>
    </row>
    <row r="157" spans="2:20" s="284" customFormat="1" ht="25.5" x14ac:dyDescent="0.35">
      <c r="B157" s="323" t="s">
        <v>306</v>
      </c>
      <c r="C157" s="295"/>
      <c r="D157" s="295"/>
      <c r="E157" s="317"/>
      <c r="F157" s="313">
        <f t="shared" si="7"/>
        <v>2718279</v>
      </c>
      <c r="G157" s="317"/>
      <c r="H157" s="313"/>
      <c r="I157" s="313"/>
      <c r="J157" s="313">
        <v>1532500</v>
      </c>
      <c r="K157" s="313"/>
      <c r="L157" s="313"/>
      <c r="M157" s="313"/>
      <c r="N157" s="313">
        <f>749758+436021</f>
        <v>1185779</v>
      </c>
      <c r="O157" s="313"/>
      <c r="P157" s="313"/>
      <c r="Q157" s="313"/>
      <c r="R157" s="313"/>
      <c r="S157" s="313"/>
      <c r="T157" s="313"/>
    </row>
    <row r="158" spans="2:20" s="284" customFormat="1" ht="25.5" x14ac:dyDescent="0.35">
      <c r="B158" s="323" t="s">
        <v>307</v>
      </c>
      <c r="C158" s="295"/>
      <c r="D158" s="295"/>
      <c r="E158" s="317"/>
      <c r="F158" s="313">
        <f t="shared" si="7"/>
        <v>9184257</v>
      </c>
      <c r="G158" s="317"/>
      <c r="H158" s="313">
        <v>119942</v>
      </c>
      <c r="I158" s="313"/>
      <c r="J158" s="313"/>
      <c r="K158" s="313"/>
      <c r="L158" s="313">
        <v>363638</v>
      </c>
      <c r="M158" s="313"/>
      <c r="N158" s="313">
        <f>3275115+988542+4437020</f>
        <v>8700677</v>
      </c>
      <c r="O158" s="313"/>
      <c r="P158" s="313"/>
      <c r="Q158" s="313"/>
      <c r="R158" s="313"/>
      <c r="S158" s="313"/>
      <c r="T158" s="313"/>
    </row>
    <row r="159" spans="2:20" s="284" customFormat="1" ht="25.5" hidden="1" x14ac:dyDescent="0.35">
      <c r="B159" s="323" t="s">
        <v>308</v>
      </c>
      <c r="C159" s="295"/>
      <c r="D159" s="295"/>
      <c r="E159" s="317"/>
      <c r="F159" s="313">
        <f t="shared" si="7"/>
        <v>0</v>
      </c>
      <c r="G159" s="317"/>
      <c r="H159" s="313"/>
      <c r="I159" s="313"/>
      <c r="J159" s="313"/>
      <c r="K159" s="313"/>
      <c r="L159" s="313"/>
      <c r="M159" s="313"/>
      <c r="N159" s="313"/>
      <c r="O159" s="313"/>
      <c r="P159" s="313"/>
      <c r="Q159" s="313"/>
      <c r="R159" s="313"/>
      <c r="S159" s="313"/>
      <c r="T159" s="313"/>
    </row>
    <row r="160" spans="2:20" s="284" customFormat="1" ht="25.5" x14ac:dyDescent="0.35">
      <c r="B160" s="323" t="s">
        <v>309</v>
      </c>
      <c r="C160" s="295"/>
      <c r="D160" s="295"/>
      <c r="E160" s="317"/>
      <c r="F160" s="313">
        <f t="shared" si="7"/>
        <v>84000</v>
      </c>
      <c r="G160" s="317"/>
      <c r="H160" s="313"/>
      <c r="I160" s="313"/>
      <c r="J160" s="313"/>
      <c r="K160" s="313"/>
      <c r="L160" s="313">
        <v>84000</v>
      </c>
      <c r="M160" s="313"/>
      <c r="N160" s="313"/>
      <c r="O160" s="313"/>
      <c r="P160" s="313"/>
      <c r="Q160" s="313"/>
      <c r="R160" s="313"/>
      <c r="S160" s="313"/>
      <c r="T160" s="313"/>
    </row>
    <row r="161" spans="2:20" s="284" customFormat="1" ht="25.5" x14ac:dyDescent="0.35">
      <c r="B161" s="323" t="s">
        <v>310</v>
      </c>
      <c r="C161" s="295"/>
      <c r="D161" s="295"/>
      <c r="E161" s="317"/>
      <c r="F161" s="313">
        <f t="shared" si="7"/>
        <v>197315823</v>
      </c>
      <c r="G161" s="317"/>
      <c r="H161" s="313">
        <v>33893520</v>
      </c>
      <c r="I161" s="313"/>
      <c r="J161" s="313">
        <v>43069775</v>
      </c>
      <c r="K161" s="313"/>
      <c r="L161" s="313">
        <v>28711932</v>
      </c>
      <c r="M161" s="313"/>
      <c r="N161" s="313">
        <v>87395812</v>
      </c>
      <c r="O161" s="313"/>
      <c r="P161" s="313"/>
      <c r="Q161" s="313"/>
      <c r="R161" s="313">
        <v>4244784</v>
      </c>
      <c r="S161" s="313"/>
      <c r="T161" s="313"/>
    </row>
    <row r="162" spans="2:20" s="284" customFormat="1" ht="25.5" x14ac:dyDescent="0.35">
      <c r="B162" s="323" t="s">
        <v>311</v>
      </c>
      <c r="C162" s="295"/>
      <c r="D162" s="295"/>
      <c r="E162" s="317"/>
      <c r="F162" s="313">
        <f t="shared" si="7"/>
        <v>2373496</v>
      </c>
      <c r="G162" s="317"/>
      <c r="H162" s="313"/>
      <c r="I162" s="313"/>
      <c r="J162" s="313"/>
      <c r="K162" s="313"/>
      <c r="L162" s="313"/>
      <c r="M162" s="313"/>
      <c r="N162" s="313">
        <v>2373496</v>
      </c>
      <c r="O162" s="313"/>
      <c r="P162" s="313"/>
      <c r="Q162" s="313"/>
      <c r="R162" s="313"/>
      <c r="S162" s="313"/>
      <c r="T162" s="313"/>
    </row>
    <row r="163" spans="2:20" s="284" customFormat="1" ht="25.5" x14ac:dyDescent="0.35">
      <c r="B163" s="323" t="s">
        <v>312</v>
      </c>
      <c r="C163" s="295"/>
      <c r="D163" s="295"/>
      <c r="E163" s="317"/>
      <c r="F163" s="313">
        <f t="shared" si="7"/>
        <v>12648488</v>
      </c>
      <c r="G163" s="317"/>
      <c r="H163" s="313">
        <v>754049</v>
      </c>
      <c r="I163" s="313"/>
      <c r="J163" s="313"/>
      <c r="K163" s="313"/>
      <c r="L163" s="313">
        <v>2725900</v>
      </c>
      <c r="M163" s="313"/>
      <c r="N163" s="313">
        <v>9168539</v>
      </c>
      <c r="O163" s="313"/>
      <c r="P163" s="313"/>
      <c r="Q163" s="313"/>
      <c r="R163" s="313"/>
      <c r="S163" s="313"/>
      <c r="T163" s="313"/>
    </row>
    <row r="164" spans="2:20" s="284" customFormat="1" ht="25.5" x14ac:dyDescent="0.35">
      <c r="B164" s="323" t="s">
        <v>313</v>
      </c>
      <c r="C164" s="295"/>
      <c r="D164" s="295"/>
      <c r="E164" s="317"/>
      <c r="F164" s="313">
        <f t="shared" si="7"/>
        <v>4484125</v>
      </c>
      <c r="G164" s="317"/>
      <c r="H164" s="313"/>
      <c r="I164" s="313"/>
      <c r="J164" s="313"/>
      <c r="K164" s="313"/>
      <c r="L164" s="313"/>
      <c r="M164" s="313"/>
      <c r="N164" s="313">
        <v>4484125</v>
      </c>
      <c r="O164" s="313"/>
      <c r="P164" s="313"/>
      <c r="Q164" s="313"/>
      <c r="R164" s="313"/>
      <c r="S164" s="313"/>
      <c r="T164" s="313"/>
    </row>
    <row r="165" spans="2:20" s="284" customFormat="1" ht="25.5" x14ac:dyDescent="0.35">
      <c r="B165" s="323" t="s">
        <v>314</v>
      </c>
      <c r="C165" s="295"/>
      <c r="D165" s="295"/>
      <c r="E165" s="317"/>
      <c r="F165" s="313">
        <f t="shared" si="7"/>
        <v>968912</v>
      </c>
      <c r="G165" s="317"/>
      <c r="H165" s="313"/>
      <c r="I165" s="313"/>
      <c r="J165" s="313"/>
      <c r="K165" s="313"/>
      <c r="L165" s="313">
        <v>968912</v>
      </c>
      <c r="M165" s="313"/>
      <c r="N165" s="313"/>
      <c r="O165" s="313"/>
      <c r="P165" s="313"/>
      <c r="Q165" s="313"/>
      <c r="R165" s="313"/>
      <c r="S165" s="313"/>
      <c r="T165" s="313"/>
    </row>
    <row r="166" spans="2:20" s="284" customFormat="1" ht="25.5" x14ac:dyDescent="0.35">
      <c r="B166" s="334" t="s">
        <v>315</v>
      </c>
      <c r="C166" s="295"/>
      <c r="D166" s="295"/>
      <c r="E166" s="317"/>
      <c r="F166" s="313">
        <f t="shared" si="7"/>
        <v>182829</v>
      </c>
      <c r="G166" s="317"/>
      <c r="H166" s="313"/>
      <c r="I166" s="313"/>
      <c r="J166" s="313"/>
      <c r="K166" s="313"/>
      <c r="L166" s="313">
        <v>168197</v>
      </c>
      <c r="M166" s="313"/>
      <c r="N166" s="313"/>
      <c r="O166" s="313"/>
      <c r="P166" s="313"/>
      <c r="Q166" s="313"/>
      <c r="R166" s="313">
        <v>14632</v>
      </c>
      <c r="S166" s="313"/>
      <c r="T166" s="313"/>
    </row>
    <row r="167" spans="2:20" s="284" customFormat="1" ht="25.5" x14ac:dyDescent="0.35">
      <c r="B167" s="323" t="s">
        <v>316</v>
      </c>
      <c r="C167" s="295"/>
      <c r="D167" s="295"/>
      <c r="E167" s="317"/>
      <c r="F167" s="313">
        <f t="shared" si="7"/>
        <v>295920</v>
      </c>
      <c r="G167" s="317"/>
      <c r="H167" s="313"/>
      <c r="I167" s="313"/>
      <c r="J167" s="313"/>
      <c r="K167" s="313"/>
      <c r="L167" s="313">
        <v>295920</v>
      </c>
      <c r="M167" s="313"/>
      <c r="N167" s="313"/>
      <c r="O167" s="313"/>
      <c r="P167" s="313"/>
      <c r="Q167" s="313"/>
      <c r="R167" s="313"/>
      <c r="S167" s="313"/>
      <c r="T167" s="313"/>
    </row>
    <row r="168" spans="2:20" s="284" customFormat="1" ht="25.5" hidden="1" x14ac:dyDescent="0.35">
      <c r="B168" s="323" t="s">
        <v>317</v>
      </c>
      <c r="C168" s="295"/>
      <c r="D168" s="295"/>
      <c r="E168" s="317"/>
      <c r="F168" s="313">
        <f t="shared" si="7"/>
        <v>0</v>
      </c>
      <c r="G168" s="317"/>
      <c r="H168" s="313"/>
      <c r="I168" s="313"/>
      <c r="J168" s="313"/>
      <c r="K168" s="313"/>
      <c r="L168" s="313"/>
      <c r="M168" s="313"/>
      <c r="N168" s="313"/>
      <c r="O168" s="313"/>
      <c r="P168" s="313"/>
      <c r="Q168" s="313"/>
      <c r="R168" s="313"/>
      <c r="S168" s="313"/>
      <c r="T168" s="313"/>
    </row>
    <row r="169" spans="2:20" s="284" customFormat="1" ht="25.5" x14ac:dyDescent="0.35">
      <c r="B169" s="323" t="s">
        <v>318</v>
      </c>
      <c r="C169" s="295"/>
      <c r="D169" s="295"/>
      <c r="E169" s="317"/>
      <c r="F169" s="313">
        <f t="shared" si="7"/>
        <v>160739</v>
      </c>
      <c r="G169" s="317"/>
      <c r="H169" s="313"/>
      <c r="I169" s="313"/>
      <c r="J169" s="313"/>
      <c r="K169" s="313"/>
      <c r="L169" s="313">
        <v>160739</v>
      </c>
      <c r="M169" s="313"/>
      <c r="N169" s="313"/>
      <c r="O169" s="313"/>
      <c r="P169" s="313"/>
      <c r="Q169" s="313"/>
      <c r="R169" s="313"/>
      <c r="S169" s="313"/>
      <c r="T169" s="313"/>
    </row>
    <row r="170" spans="2:20" s="284" customFormat="1" ht="25.5" x14ac:dyDescent="0.35">
      <c r="B170" s="323" t="s">
        <v>319</v>
      </c>
      <c r="C170" s="295"/>
      <c r="D170" s="295"/>
      <c r="E170" s="317"/>
      <c r="F170" s="313">
        <f t="shared" si="7"/>
        <v>1621731</v>
      </c>
      <c r="G170" s="317"/>
      <c r="H170" s="313"/>
      <c r="I170" s="313"/>
      <c r="J170" s="313"/>
      <c r="K170" s="313"/>
      <c r="L170" s="313">
        <v>1576467</v>
      </c>
      <c r="M170" s="313"/>
      <c r="N170" s="313"/>
      <c r="O170" s="313"/>
      <c r="P170" s="313"/>
      <c r="Q170" s="313"/>
      <c r="R170" s="313">
        <v>45264</v>
      </c>
      <c r="S170" s="313"/>
      <c r="T170" s="313"/>
    </row>
    <row r="171" spans="2:20" s="284" customFormat="1" ht="25.5" x14ac:dyDescent="0.35">
      <c r="B171" s="323" t="s">
        <v>320</v>
      </c>
      <c r="C171" s="295"/>
      <c r="D171" s="295"/>
      <c r="E171" s="317"/>
      <c r="F171" s="313">
        <f t="shared" si="7"/>
        <v>325</v>
      </c>
      <c r="G171" s="317"/>
      <c r="H171" s="313"/>
      <c r="I171" s="313"/>
      <c r="J171" s="313"/>
      <c r="K171" s="313"/>
      <c r="L171" s="313">
        <v>253</v>
      </c>
      <c r="M171" s="313"/>
      <c r="N171" s="313"/>
      <c r="O171" s="313"/>
      <c r="P171" s="313"/>
      <c r="Q171" s="313"/>
      <c r="R171" s="313">
        <v>72</v>
      </c>
      <c r="S171" s="313"/>
      <c r="T171" s="313"/>
    </row>
    <row r="172" spans="2:20" s="284" customFormat="1" ht="25.5" x14ac:dyDescent="0.35">
      <c r="B172" s="334" t="s">
        <v>321</v>
      </c>
      <c r="C172" s="295"/>
      <c r="D172" s="295"/>
      <c r="E172" s="317"/>
      <c r="F172" s="313">
        <f t="shared" si="7"/>
        <v>830433</v>
      </c>
      <c r="G172" s="317"/>
      <c r="H172" s="313"/>
      <c r="I172" s="313"/>
      <c r="J172" s="313"/>
      <c r="K172" s="313"/>
      <c r="L172" s="313">
        <v>795214</v>
      </c>
      <c r="M172" s="313"/>
      <c r="N172" s="313"/>
      <c r="O172" s="313"/>
      <c r="P172" s="313"/>
      <c r="Q172" s="313"/>
      <c r="R172" s="313">
        <v>35219</v>
      </c>
      <c r="S172" s="313"/>
      <c r="T172" s="313"/>
    </row>
    <row r="173" spans="2:20" s="284" customFormat="1" ht="25.5" x14ac:dyDescent="0.35">
      <c r="B173" s="334" t="s">
        <v>322</v>
      </c>
      <c r="C173" s="295"/>
      <c r="D173" s="295"/>
      <c r="E173" s="317"/>
      <c r="F173" s="313">
        <f t="shared" si="7"/>
        <v>2346997</v>
      </c>
      <c r="G173" s="317"/>
      <c r="H173" s="313"/>
      <c r="I173" s="313"/>
      <c r="J173" s="313"/>
      <c r="K173" s="313"/>
      <c r="L173" s="313">
        <v>2259314</v>
      </c>
      <c r="M173" s="313"/>
      <c r="N173" s="313"/>
      <c r="O173" s="313"/>
      <c r="P173" s="313"/>
      <c r="Q173" s="313"/>
      <c r="R173" s="313">
        <v>87683</v>
      </c>
      <c r="S173" s="313"/>
      <c r="T173" s="313"/>
    </row>
    <row r="174" spans="2:20" s="284" customFormat="1" ht="25.5" x14ac:dyDescent="0.35">
      <c r="B174" s="334" t="s">
        <v>323</v>
      </c>
      <c r="C174" s="295"/>
      <c r="D174" s="295"/>
      <c r="E174" s="317"/>
      <c r="F174" s="313">
        <f t="shared" si="7"/>
        <v>89677</v>
      </c>
      <c r="G174" s="317"/>
      <c r="H174" s="313">
        <v>89677</v>
      </c>
      <c r="I174" s="313"/>
      <c r="J174" s="313"/>
      <c r="K174" s="313"/>
      <c r="L174" s="313"/>
      <c r="M174" s="313"/>
      <c r="N174" s="313"/>
      <c r="O174" s="313"/>
      <c r="P174" s="313"/>
      <c r="Q174" s="313"/>
      <c r="R174" s="313"/>
      <c r="S174" s="313"/>
      <c r="T174" s="313"/>
    </row>
    <row r="175" spans="2:20" s="284" customFormat="1" ht="25.5" x14ac:dyDescent="0.35">
      <c r="B175" s="334" t="s">
        <v>324</v>
      </c>
      <c r="C175" s="295"/>
      <c r="D175" s="295"/>
      <c r="E175" s="317"/>
      <c r="F175" s="313">
        <f t="shared" si="7"/>
        <v>1812500</v>
      </c>
      <c r="G175" s="317"/>
      <c r="H175" s="313"/>
      <c r="I175" s="313"/>
      <c r="J175" s="313">
        <v>1812500</v>
      </c>
      <c r="K175" s="313"/>
      <c r="L175" s="313"/>
      <c r="M175" s="313"/>
      <c r="N175" s="313"/>
      <c r="O175" s="313"/>
      <c r="P175" s="313"/>
      <c r="Q175" s="313"/>
      <c r="R175" s="313"/>
      <c r="S175" s="313"/>
      <c r="T175" s="313"/>
    </row>
    <row r="176" spans="2:20" s="284" customFormat="1" ht="25.5" x14ac:dyDescent="0.35">
      <c r="B176" s="323" t="s">
        <v>325</v>
      </c>
      <c r="C176" s="295"/>
      <c r="D176" s="295"/>
      <c r="E176" s="317"/>
      <c r="F176" s="313">
        <f t="shared" si="7"/>
        <v>593344</v>
      </c>
      <c r="G176" s="317"/>
      <c r="H176" s="313"/>
      <c r="I176" s="313"/>
      <c r="J176" s="313"/>
      <c r="K176" s="313"/>
      <c r="L176" s="313">
        <v>593344</v>
      </c>
      <c r="M176" s="313"/>
      <c r="N176" s="313"/>
      <c r="O176" s="313"/>
      <c r="P176" s="313"/>
      <c r="Q176" s="313"/>
      <c r="R176" s="313"/>
      <c r="S176" s="313"/>
      <c r="T176" s="313"/>
    </row>
    <row r="177" spans="2:20" s="284" customFormat="1" ht="25.5" hidden="1" x14ac:dyDescent="0.35">
      <c r="B177" s="323" t="s">
        <v>326</v>
      </c>
      <c r="C177" s="295"/>
      <c r="D177" s="295"/>
      <c r="E177" s="317"/>
      <c r="F177" s="313">
        <f t="shared" si="7"/>
        <v>0</v>
      </c>
      <c r="G177" s="317"/>
      <c r="H177" s="313"/>
      <c r="I177" s="313"/>
      <c r="J177" s="313"/>
      <c r="K177" s="313"/>
      <c r="L177" s="313"/>
      <c r="M177" s="313"/>
      <c r="N177" s="313"/>
      <c r="O177" s="313"/>
      <c r="P177" s="313"/>
      <c r="Q177" s="313"/>
      <c r="R177" s="313"/>
      <c r="S177" s="313"/>
      <c r="T177" s="313"/>
    </row>
    <row r="178" spans="2:20" s="284" customFormat="1" ht="25.5" hidden="1" x14ac:dyDescent="0.35">
      <c r="B178" s="323" t="s">
        <v>327</v>
      </c>
      <c r="C178" s="295"/>
      <c r="D178" s="295"/>
      <c r="E178" s="317"/>
      <c r="F178" s="313">
        <f t="shared" si="7"/>
        <v>0</v>
      </c>
      <c r="G178" s="317"/>
      <c r="H178" s="313"/>
      <c r="I178" s="313"/>
      <c r="J178" s="313"/>
      <c r="K178" s="313"/>
      <c r="L178" s="313"/>
      <c r="M178" s="313"/>
      <c r="N178" s="313"/>
      <c r="O178" s="313"/>
      <c r="P178" s="313"/>
      <c r="Q178" s="313"/>
      <c r="R178" s="313"/>
      <c r="S178" s="313"/>
      <c r="T178" s="313"/>
    </row>
    <row r="179" spans="2:20" s="284" customFormat="1" ht="25.5" x14ac:dyDescent="0.35">
      <c r="B179" s="323" t="s">
        <v>328</v>
      </c>
      <c r="C179" s="295"/>
      <c r="D179" s="295"/>
      <c r="E179" s="317"/>
      <c r="F179" s="313">
        <f t="shared" si="7"/>
        <v>2123684</v>
      </c>
      <c r="G179" s="317"/>
      <c r="H179" s="313"/>
      <c r="I179" s="313"/>
      <c r="J179" s="313"/>
      <c r="K179" s="313"/>
      <c r="L179" s="313">
        <v>2123684</v>
      </c>
      <c r="M179" s="313"/>
      <c r="N179" s="313"/>
      <c r="O179" s="313"/>
      <c r="P179" s="313"/>
      <c r="Q179" s="313"/>
      <c r="R179" s="313"/>
      <c r="S179" s="313"/>
      <c r="T179" s="313"/>
    </row>
    <row r="180" spans="2:20" s="284" customFormat="1" ht="25.5" x14ac:dyDescent="0.35">
      <c r="B180" s="311" t="s">
        <v>329</v>
      </c>
      <c r="C180" s="295"/>
      <c r="D180" s="295"/>
      <c r="E180" s="317"/>
      <c r="F180" s="313">
        <f>+H180+J180+L180+N180+R180+P180+T180</f>
        <v>11347</v>
      </c>
      <c r="G180" s="317"/>
      <c r="H180" s="313"/>
      <c r="I180" s="318"/>
      <c r="J180" s="313">
        <v>11347</v>
      </c>
      <c r="K180" s="318"/>
      <c r="L180" s="313"/>
      <c r="M180" s="313"/>
      <c r="N180" s="313"/>
      <c r="O180" s="313"/>
      <c r="P180" s="313"/>
      <c r="Q180" s="318"/>
      <c r="R180" s="313"/>
      <c r="S180" s="320"/>
    </row>
    <row r="181" spans="2:20" s="284" customFormat="1" ht="25.5" x14ac:dyDescent="0.35">
      <c r="B181" s="311" t="s">
        <v>330</v>
      </c>
      <c r="C181" s="295"/>
      <c r="D181" s="295"/>
      <c r="E181" s="317"/>
      <c r="F181" s="313">
        <f t="shared" ref="F181:F188" si="8">+H181+J181+L181+N181+R181+P181+T181</f>
        <v>2046745</v>
      </c>
      <c r="G181" s="317"/>
      <c r="H181" s="313">
        <v>39235</v>
      </c>
      <c r="I181" s="318"/>
      <c r="J181" s="313"/>
      <c r="K181" s="318"/>
      <c r="L181" s="313">
        <v>117135</v>
      </c>
      <c r="M181" s="313"/>
      <c r="N181" s="313">
        <v>1889003</v>
      </c>
      <c r="O181" s="313"/>
      <c r="P181" s="313"/>
      <c r="Q181" s="318"/>
      <c r="R181" s="313">
        <v>1372</v>
      </c>
      <c r="S181" s="320"/>
    </row>
    <row r="182" spans="2:20" s="284" customFormat="1" ht="25.5" x14ac:dyDescent="0.35">
      <c r="B182" s="311" t="s">
        <v>331</v>
      </c>
      <c r="C182" s="295"/>
      <c r="D182" s="295"/>
      <c r="E182" s="317"/>
      <c r="F182" s="313">
        <f t="shared" si="8"/>
        <v>7368127</v>
      </c>
      <c r="G182" s="317"/>
      <c r="H182" s="313">
        <v>7368127</v>
      </c>
      <c r="I182" s="318"/>
      <c r="J182" s="313"/>
      <c r="K182" s="318"/>
      <c r="L182" s="313"/>
      <c r="M182" s="313"/>
      <c r="N182" s="313"/>
      <c r="O182" s="313"/>
      <c r="P182" s="313"/>
      <c r="Q182" s="318"/>
      <c r="R182" s="313"/>
      <c r="S182" s="320"/>
    </row>
    <row r="183" spans="2:20" s="284" customFormat="1" ht="25.5" x14ac:dyDescent="0.35">
      <c r="B183" s="337" t="s">
        <v>332</v>
      </c>
      <c r="C183" s="295"/>
      <c r="D183" s="295"/>
      <c r="E183" s="317"/>
      <c r="F183" s="313">
        <f t="shared" si="8"/>
        <v>546879</v>
      </c>
      <c r="G183" s="317"/>
      <c r="H183" s="313"/>
      <c r="I183" s="318"/>
      <c r="J183" s="313"/>
      <c r="K183" s="318"/>
      <c r="L183" s="313">
        <v>525004</v>
      </c>
      <c r="M183" s="313"/>
      <c r="N183" s="313"/>
      <c r="O183" s="313"/>
      <c r="P183" s="313"/>
      <c r="Q183" s="318"/>
      <c r="R183" s="313">
        <v>21875</v>
      </c>
      <c r="S183" s="320"/>
    </row>
    <row r="184" spans="2:20" s="284" customFormat="1" ht="25.5" x14ac:dyDescent="0.35">
      <c r="B184" s="311" t="s">
        <v>333</v>
      </c>
      <c r="C184" s="295"/>
      <c r="D184" s="295"/>
      <c r="E184" s="317"/>
      <c r="F184" s="313">
        <f t="shared" si="8"/>
        <v>1717891</v>
      </c>
      <c r="G184" s="317"/>
      <c r="H184" s="313">
        <v>1717891</v>
      </c>
      <c r="I184" s="318"/>
      <c r="J184" s="313"/>
      <c r="K184" s="318"/>
      <c r="L184" s="313"/>
      <c r="M184" s="313"/>
      <c r="N184" s="313"/>
      <c r="O184" s="313"/>
      <c r="P184" s="313"/>
      <c r="Q184" s="318"/>
      <c r="R184" s="313"/>
      <c r="S184" s="320"/>
    </row>
    <row r="185" spans="2:20" s="284" customFormat="1" ht="25.5" x14ac:dyDescent="0.35">
      <c r="B185" s="311" t="s">
        <v>334</v>
      </c>
      <c r="C185" s="295"/>
      <c r="D185" s="295"/>
      <c r="E185" s="317"/>
      <c r="F185" s="313">
        <f t="shared" si="8"/>
        <v>1513646</v>
      </c>
      <c r="G185" s="317"/>
      <c r="H185" s="313"/>
      <c r="I185" s="318"/>
      <c r="J185" s="313"/>
      <c r="K185" s="318"/>
      <c r="L185" s="313">
        <v>1513646</v>
      </c>
      <c r="M185" s="313"/>
      <c r="N185" s="313"/>
      <c r="O185" s="313"/>
      <c r="P185" s="313"/>
      <c r="Q185" s="318"/>
      <c r="R185" s="313"/>
      <c r="S185" s="320"/>
    </row>
    <row r="186" spans="2:20" s="284" customFormat="1" ht="25.5" x14ac:dyDescent="0.35">
      <c r="B186" s="334" t="s">
        <v>335</v>
      </c>
      <c r="C186" s="295"/>
      <c r="D186" s="295"/>
      <c r="E186" s="317"/>
      <c r="F186" s="313">
        <f t="shared" si="8"/>
        <v>8599</v>
      </c>
      <c r="G186" s="317"/>
      <c r="H186" s="313"/>
      <c r="I186" s="318"/>
      <c r="J186" s="313"/>
      <c r="K186" s="318"/>
      <c r="L186" s="313"/>
      <c r="M186" s="313"/>
      <c r="N186" s="313">
        <f>8310+289</f>
        <v>8599</v>
      </c>
      <c r="O186" s="313"/>
      <c r="P186" s="313"/>
      <c r="Q186" s="318"/>
      <c r="R186" s="313"/>
      <c r="S186" s="320"/>
    </row>
    <row r="187" spans="2:20" s="284" customFormat="1" ht="25.5" hidden="1" x14ac:dyDescent="0.35">
      <c r="B187" s="334" t="s">
        <v>336</v>
      </c>
      <c r="C187" s="295"/>
      <c r="D187" s="295"/>
      <c r="E187" s="317"/>
      <c r="F187" s="313">
        <f t="shared" si="8"/>
        <v>0</v>
      </c>
      <c r="G187" s="317"/>
      <c r="H187" s="313"/>
      <c r="I187" s="318"/>
      <c r="J187" s="313"/>
      <c r="K187" s="318"/>
      <c r="L187" s="313"/>
      <c r="M187" s="313"/>
      <c r="N187" s="313"/>
      <c r="O187" s="313"/>
      <c r="P187" s="313"/>
      <c r="Q187" s="318"/>
      <c r="R187" s="313"/>
      <c r="S187" s="320"/>
    </row>
    <row r="188" spans="2:20" s="284" customFormat="1" ht="25.5" x14ac:dyDescent="0.35">
      <c r="B188" s="337" t="s">
        <v>337</v>
      </c>
      <c r="C188" s="295"/>
      <c r="D188" s="295"/>
      <c r="E188" s="317"/>
      <c r="F188" s="313">
        <f t="shared" si="8"/>
        <v>957</v>
      </c>
      <c r="G188" s="317"/>
      <c r="H188" s="313"/>
      <c r="I188" s="318"/>
      <c r="J188" s="313"/>
      <c r="K188" s="318"/>
      <c r="L188" s="313">
        <v>957</v>
      </c>
      <c r="M188" s="313"/>
      <c r="N188" s="313"/>
      <c r="O188" s="313"/>
      <c r="P188" s="313"/>
      <c r="Q188" s="318"/>
      <c r="R188" s="313"/>
      <c r="S188" s="320"/>
      <c r="T188" s="313"/>
    </row>
    <row r="189" spans="2:20" s="284" customFormat="1" ht="9" customHeight="1" x14ac:dyDescent="0.35">
      <c r="B189" s="326"/>
      <c r="C189" s="295"/>
      <c r="D189" s="295"/>
      <c r="E189" s="317"/>
      <c r="F189" s="361"/>
      <c r="G189" s="317"/>
      <c r="H189" s="361"/>
      <c r="I189" s="318"/>
      <c r="J189" s="361"/>
      <c r="K189" s="318"/>
      <c r="L189" s="361"/>
      <c r="M189" s="356"/>
      <c r="N189" s="361"/>
      <c r="O189" s="356"/>
      <c r="P189" s="361"/>
      <c r="Q189" s="318"/>
      <c r="R189" s="361"/>
      <c r="S189" s="320"/>
      <c r="T189" s="361"/>
    </row>
    <row r="190" spans="2:20" s="284" customFormat="1" ht="25.5" x14ac:dyDescent="0.35">
      <c r="B190" s="295"/>
      <c r="C190" s="326"/>
      <c r="D190" s="295"/>
      <c r="E190" s="317"/>
      <c r="F190" s="327">
        <f>SUM(F155:F189)</f>
        <v>364925384</v>
      </c>
      <c r="G190" s="317"/>
      <c r="H190" s="327">
        <f>SUM(H155:H189)</f>
        <v>45220413</v>
      </c>
      <c r="I190" s="318"/>
      <c r="J190" s="327">
        <f>SUM(J155:J189)</f>
        <v>46426122</v>
      </c>
      <c r="K190" s="318"/>
      <c r="L190" s="327">
        <f>SUM(L155:L189)</f>
        <v>70934942</v>
      </c>
      <c r="M190" s="327"/>
      <c r="N190" s="327">
        <f>SUM(N155:N189)</f>
        <v>196002890</v>
      </c>
      <c r="O190" s="327"/>
      <c r="P190" s="328">
        <f>SUM(P155:P189)</f>
        <v>0</v>
      </c>
      <c r="Q190" s="318"/>
      <c r="R190" s="327">
        <f>SUM(R155:R189)</f>
        <v>6341017</v>
      </c>
      <c r="S190" s="320"/>
      <c r="T190" s="328">
        <f>SUM(T155:T189)</f>
        <v>0</v>
      </c>
    </row>
    <row r="191" spans="2:20" s="284" customFormat="1" ht="25.5" x14ac:dyDescent="0.35">
      <c r="B191" s="295"/>
      <c r="C191" s="326"/>
      <c r="D191" s="295"/>
      <c r="E191" s="317"/>
      <c r="F191" s="327"/>
      <c r="G191" s="317"/>
      <c r="H191" s="327"/>
      <c r="I191" s="318"/>
      <c r="J191" s="327"/>
      <c r="K191" s="318"/>
      <c r="L191" s="327"/>
      <c r="M191" s="327"/>
      <c r="N191" s="327"/>
      <c r="O191" s="327"/>
      <c r="P191" s="327"/>
      <c r="Q191" s="318"/>
      <c r="R191" s="327"/>
      <c r="S191" s="320"/>
      <c r="T191" s="327"/>
    </row>
    <row r="192" spans="2:20" s="284" customFormat="1" ht="25.5" x14ac:dyDescent="0.35">
      <c r="B192" s="295"/>
      <c r="C192" s="326"/>
      <c r="D192" s="295"/>
      <c r="E192" s="317"/>
      <c r="F192" s="327"/>
      <c r="G192" s="317"/>
      <c r="H192" s="327"/>
      <c r="I192" s="318"/>
      <c r="J192" s="327"/>
      <c r="K192" s="318"/>
      <c r="L192" s="327"/>
      <c r="M192" s="327"/>
      <c r="N192" s="327"/>
      <c r="O192" s="327"/>
      <c r="P192" s="327"/>
      <c r="Q192" s="318"/>
      <c r="R192" s="327"/>
      <c r="S192" s="320"/>
    </row>
    <row r="193" spans="2:20" s="284" customFormat="1" ht="25.5" x14ac:dyDescent="0.35">
      <c r="B193" s="310" t="s">
        <v>338</v>
      </c>
      <c r="C193" s="295"/>
      <c r="D193" s="295"/>
      <c r="E193" s="317"/>
      <c r="F193" s="318"/>
      <c r="G193" s="317"/>
      <c r="H193" s="318"/>
      <c r="I193" s="318"/>
      <c r="J193" s="318"/>
      <c r="K193" s="318"/>
      <c r="L193" s="318"/>
      <c r="M193" s="318"/>
      <c r="N193" s="318"/>
      <c r="O193" s="318"/>
      <c r="P193" s="318"/>
      <c r="Q193" s="318"/>
      <c r="R193" s="318"/>
      <c r="S193" s="318"/>
    </row>
    <row r="194" spans="2:20" s="284" customFormat="1" ht="25.5" x14ac:dyDescent="0.35">
      <c r="B194" s="311" t="s">
        <v>339</v>
      </c>
      <c r="C194" s="295"/>
      <c r="D194" s="295"/>
      <c r="E194" s="317"/>
      <c r="F194" s="313">
        <f>+H194+J194+L194+N194+R194+P194+T194</f>
        <v>11812661</v>
      </c>
      <c r="G194" s="317"/>
      <c r="H194" s="313">
        <v>6971255</v>
      </c>
      <c r="I194" s="318"/>
      <c r="J194" s="313">
        <v>32983</v>
      </c>
      <c r="K194" s="318"/>
      <c r="L194" s="322">
        <v>4157882</v>
      </c>
      <c r="M194" s="318"/>
      <c r="O194" s="318"/>
      <c r="P194" s="313"/>
      <c r="Q194" s="318"/>
      <c r="R194" s="313">
        <v>650541</v>
      </c>
      <c r="S194" s="318"/>
      <c r="T194" s="318"/>
    </row>
    <row r="195" spans="2:20" s="284" customFormat="1" ht="25.5" x14ac:dyDescent="0.35">
      <c r="B195" s="311" t="s">
        <v>340</v>
      </c>
      <c r="C195" s="295"/>
      <c r="D195" s="295"/>
      <c r="E195" s="317"/>
      <c r="F195" s="313">
        <f t="shared" ref="F195:F234" si="9">+H195+J195+L195+N195+R195+P195+T195</f>
        <v>27875381</v>
      </c>
      <c r="G195" s="317"/>
      <c r="H195" s="313">
        <v>27875381</v>
      </c>
      <c r="I195" s="318"/>
      <c r="J195" s="313"/>
      <c r="K195" s="318"/>
      <c r="L195" s="313"/>
      <c r="M195" s="313"/>
      <c r="N195" s="313"/>
      <c r="O195" s="313"/>
      <c r="P195" s="313"/>
      <c r="Q195" s="318"/>
      <c r="R195" s="313"/>
      <c r="S195" s="318"/>
    </row>
    <row r="196" spans="2:20" s="284" customFormat="1" ht="25.5" x14ac:dyDescent="0.35">
      <c r="B196" s="311" t="s">
        <v>341</v>
      </c>
      <c r="C196" s="295"/>
      <c r="D196" s="295"/>
      <c r="E196" s="317"/>
      <c r="F196" s="313">
        <f t="shared" si="9"/>
        <v>6440510</v>
      </c>
      <c r="G196" s="317"/>
      <c r="H196" s="313"/>
      <c r="I196" s="318"/>
      <c r="J196" s="313">
        <v>6440510</v>
      </c>
      <c r="K196" s="318"/>
      <c r="L196" s="313"/>
      <c r="M196" s="318"/>
      <c r="O196" s="318"/>
      <c r="P196" s="313"/>
      <c r="Q196" s="318"/>
      <c r="R196" s="313"/>
      <c r="S196" s="318"/>
      <c r="T196" s="318"/>
    </row>
    <row r="197" spans="2:20" s="284" customFormat="1" ht="25.5" x14ac:dyDescent="0.35">
      <c r="B197" s="311" t="s">
        <v>342</v>
      </c>
      <c r="C197" s="295"/>
      <c r="D197" s="295"/>
      <c r="E197" s="317"/>
      <c r="F197" s="313">
        <f t="shared" si="9"/>
        <v>29516</v>
      </c>
      <c r="G197" s="317"/>
      <c r="H197" s="313">
        <v>29516</v>
      </c>
      <c r="I197" s="318"/>
      <c r="J197" s="313"/>
      <c r="K197" s="318"/>
      <c r="L197" s="313"/>
      <c r="M197" s="318"/>
      <c r="O197" s="318"/>
      <c r="P197" s="313"/>
      <c r="Q197" s="318"/>
      <c r="R197" s="313"/>
      <c r="S197" s="318"/>
      <c r="T197" s="318"/>
    </row>
    <row r="198" spans="2:20" s="284" customFormat="1" ht="25.5" x14ac:dyDescent="0.35">
      <c r="B198" s="311" t="s">
        <v>343</v>
      </c>
      <c r="C198" s="295"/>
      <c r="D198" s="295"/>
      <c r="E198" s="317"/>
      <c r="F198" s="313">
        <f t="shared" si="9"/>
        <v>268350</v>
      </c>
      <c r="G198" s="317"/>
      <c r="H198" s="313">
        <v>31992</v>
      </c>
      <c r="I198" s="318"/>
      <c r="J198" s="313">
        <v>61153</v>
      </c>
      <c r="K198" s="313"/>
      <c r="L198" s="313">
        <v>172987</v>
      </c>
      <c r="M198" s="318"/>
      <c r="O198" s="318"/>
      <c r="P198" s="313"/>
      <c r="Q198" s="318"/>
      <c r="R198" s="313">
        <v>2218</v>
      </c>
      <c r="S198" s="318"/>
      <c r="T198" s="318"/>
    </row>
    <row r="199" spans="2:20" s="284" customFormat="1" ht="25.5" x14ac:dyDescent="0.35">
      <c r="B199" s="311" t="s">
        <v>344</v>
      </c>
      <c r="C199" s="295"/>
      <c r="D199" s="295"/>
      <c r="E199" s="317"/>
      <c r="F199" s="313">
        <f t="shared" si="9"/>
        <v>46046</v>
      </c>
      <c r="G199" s="317"/>
      <c r="H199" s="313"/>
      <c r="I199" s="318"/>
      <c r="J199" s="313">
        <v>35256</v>
      </c>
      <c r="K199" s="313"/>
      <c r="L199" s="313">
        <v>10790</v>
      </c>
      <c r="M199" s="318"/>
      <c r="O199" s="318"/>
      <c r="P199" s="313"/>
      <c r="Q199" s="318"/>
      <c r="R199" s="313"/>
      <c r="S199" s="318"/>
      <c r="T199" s="318"/>
    </row>
    <row r="200" spans="2:20" s="284" customFormat="1" ht="25.5" x14ac:dyDescent="0.35">
      <c r="B200" s="311" t="s">
        <v>345</v>
      </c>
      <c r="C200" s="295"/>
      <c r="D200" s="295"/>
      <c r="E200" s="317"/>
      <c r="F200" s="313">
        <f t="shared" si="9"/>
        <v>8660370</v>
      </c>
      <c r="G200" s="317"/>
      <c r="H200" s="313">
        <v>8660370</v>
      </c>
      <c r="I200" s="318"/>
      <c r="J200" s="313"/>
      <c r="K200" s="318"/>
      <c r="L200" s="313"/>
      <c r="M200" s="318"/>
      <c r="O200" s="318"/>
      <c r="P200" s="313"/>
      <c r="Q200" s="318"/>
      <c r="R200" s="313"/>
      <c r="S200" s="318"/>
      <c r="T200" s="318"/>
    </row>
    <row r="201" spans="2:20" s="284" customFormat="1" ht="25.5" x14ac:dyDescent="0.35">
      <c r="B201" s="311" t="s">
        <v>346</v>
      </c>
      <c r="C201" s="295"/>
      <c r="D201" s="295"/>
      <c r="E201" s="317"/>
      <c r="F201" s="313">
        <f t="shared" si="9"/>
        <v>355120</v>
      </c>
      <c r="G201" s="317"/>
      <c r="H201" s="313">
        <v>355120</v>
      </c>
      <c r="I201" s="318"/>
      <c r="J201" s="313"/>
      <c r="K201" s="318"/>
      <c r="L201" s="313"/>
      <c r="M201" s="318"/>
      <c r="O201" s="318"/>
      <c r="P201" s="313"/>
      <c r="Q201" s="318"/>
      <c r="R201" s="313"/>
      <c r="S201" s="318"/>
      <c r="T201" s="318"/>
    </row>
    <row r="202" spans="2:20" s="284" customFormat="1" ht="25.5" x14ac:dyDescent="0.35">
      <c r="B202" s="323" t="s">
        <v>347</v>
      </c>
      <c r="C202" s="295"/>
      <c r="D202" s="295"/>
      <c r="E202" s="317"/>
      <c r="F202" s="313"/>
      <c r="G202" s="317"/>
      <c r="H202" s="313"/>
      <c r="I202" s="318"/>
      <c r="J202" s="313"/>
      <c r="K202" s="318"/>
      <c r="L202" s="313"/>
      <c r="M202" s="318"/>
      <c r="O202" s="318"/>
      <c r="P202" s="313"/>
      <c r="Q202" s="318"/>
      <c r="R202" s="313"/>
      <c r="S202" s="318"/>
      <c r="T202" s="318"/>
    </row>
    <row r="203" spans="2:20" s="284" customFormat="1" ht="25.5" x14ac:dyDescent="0.35">
      <c r="B203" s="323" t="s">
        <v>348</v>
      </c>
      <c r="C203" s="295"/>
      <c r="D203" s="295"/>
      <c r="E203" s="317"/>
      <c r="F203" s="313">
        <f t="shared" si="9"/>
        <v>8448049</v>
      </c>
      <c r="G203" s="317"/>
      <c r="H203" s="313"/>
      <c r="I203" s="318"/>
      <c r="J203" s="313"/>
      <c r="K203" s="318"/>
      <c r="L203" s="313">
        <v>8448049</v>
      </c>
      <c r="M203" s="318"/>
      <c r="O203" s="318"/>
      <c r="P203" s="313"/>
      <c r="Q203" s="318"/>
      <c r="R203" s="313"/>
      <c r="S203" s="318"/>
      <c r="T203" s="318"/>
    </row>
    <row r="204" spans="2:20" s="284" customFormat="1" ht="25.5" x14ac:dyDescent="0.35">
      <c r="B204" s="311" t="s">
        <v>349</v>
      </c>
      <c r="C204" s="295"/>
      <c r="D204" s="295"/>
      <c r="E204" s="317"/>
      <c r="F204" s="313">
        <f t="shared" si="9"/>
        <v>2400</v>
      </c>
      <c r="G204" s="317"/>
      <c r="H204" s="313">
        <v>2400</v>
      </c>
      <c r="I204" s="318"/>
      <c r="J204" s="313"/>
      <c r="K204" s="318"/>
      <c r="L204" s="313"/>
      <c r="M204" s="318"/>
      <c r="O204" s="318"/>
      <c r="P204" s="313"/>
      <c r="Q204" s="318"/>
      <c r="R204" s="313"/>
      <c r="S204" s="318"/>
      <c r="T204" s="318"/>
    </row>
    <row r="205" spans="2:20" s="284" customFormat="1" ht="25.5" x14ac:dyDescent="0.35">
      <c r="B205" s="311" t="s">
        <v>350</v>
      </c>
      <c r="C205" s="295"/>
      <c r="D205" s="295"/>
      <c r="E205" s="317"/>
      <c r="F205" s="313">
        <f t="shared" si="9"/>
        <v>80157</v>
      </c>
      <c r="G205" s="317"/>
      <c r="H205" s="313">
        <v>80157</v>
      </c>
      <c r="I205" s="318"/>
      <c r="J205" s="313"/>
      <c r="K205" s="318"/>
      <c r="L205" s="313"/>
      <c r="M205" s="318"/>
      <c r="O205" s="318"/>
      <c r="P205" s="313"/>
      <c r="Q205" s="318"/>
      <c r="R205" s="313"/>
      <c r="S205" s="318"/>
      <c r="T205" s="318"/>
    </row>
    <row r="206" spans="2:20" s="284" customFormat="1" ht="25.5" x14ac:dyDescent="0.35">
      <c r="B206" s="311" t="s">
        <v>351</v>
      </c>
      <c r="C206" s="295"/>
      <c r="D206" s="295"/>
      <c r="E206" s="317"/>
      <c r="F206" s="313">
        <f t="shared" si="9"/>
        <v>180091</v>
      </c>
      <c r="G206" s="317"/>
      <c r="H206" s="313">
        <v>180091</v>
      </c>
      <c r="I206" s="318"/>
      <c r="J206" s="313"/>
      <c r="K206" s="318"/>
      <c r="L206" s="313"/>
      <c r="M206" s="318"/>
      <c r="O206" s="318"/>
      <c r="P206" s="313"/>
      <c r="Q206" s="318"/>
      <c r="R206" s="313"/>
      <c r="S206" s="318"/>
      <c r="T206" s="318"/>
    </row>
    <row r="207" spans="2:20" s="284" customFormat="1" ht="25.5" x14ac:dyDescent="0.35">
      <c r="B207" s="311" t="s">
        <v>352</v>
      </c>
      <c r="C207" s="295"/>
      <c r="D207" s="295"/>
      <c r="E207" s="317"/>
      <c r="F207" s="313">
        <f t="shared" si="9"/>
        <v>6517</v>
      </c>
      <c r="G207" s="317"/>
      <c r="H207" s="313">
        <v>6517</v>
      </c>
      <c r="I207" s="318"/>
      <c r="J207" s="313"/>
      <c r="K207" s="318"/>
      <c r="L207" s="313"/>
      <c r="M207" s="318"/>
      <c r="O207" s="318"/>
      <c r="P207" s="313"/>
      <c r="Q207" s="318"/>
      <c r="R207" s="313"/>
      <c r="S207" s="318"/>
      <c r="T207" s="318"/>
    </row>
    <row r="208" spans="2:20" s="284" customFormat="1" ht="25.5" x14ac:dyDescent="0.35">
      <c r="B208" s="311" t="s">
        <v>353</v>
      </c>
      <c r="C208" s="295"/>
      <c r="D208" s="295"/>
      <c r="E208" s="317"/>
      <c r="F208" s="313">
        <f t="shared" si="9"/>
        <v>24830</v>
      </c>
      <c r="G208" s="317"/>
      <c r="H208" s="313">
        <v>24565</v>
      </c>
      <c r="I208" s="318"/>
      <c r="J208" s="313"/>
      <c r="K208" s="318"/>
      <c r="L208" s="313">
        <v>265</v>
      </c>
      <c r="M208" s="318"/>
      <c r="O208" s="318"/>
      <c r="P208" s="313"/>
      <c r="Q208" s="318"/>
      <c r="R208" s="313"/>
      <c r="S208" s="318"/>
      <c r="T208" s="318"/>
    </row>
    <row r="209" spans="2:20" s="284" customFormat="1" ht="25.5" x14ac:dyDescent="0.35">
      <c r="B209" s="311" t="s">
        <v>354</v>
      </c>
      <c r="C209" s="295"/>
      <c r="D209" s="295"/>
      <c r="E209" s="317"/>
      <c r="F209" s="313">
        <f t="shared" si="9"/>
        <v>34073</v>
      </c>
      <c r="G209" s="317"/>
      <c r="H209" s="313">
        <v>34073</v>
      </c>
      <c r="I209" s="318"/>
      <c r="J209" s="313"/>
      <c r="K209" s="318"/>
      <c r="L209" s="313"/>
      <c r="M209" s="318"/>
      <c r="O209" s="318"/>
      <c r="P209" s="313"/>
      <c r="Q209" s="318"/>
      <c r="R209" s="313"/>
      <c r="S209" s="318"/>
      <c r="T209" s="318"/>
    </row>
    <row r="210" spans="2:20" s="284" customFormat="1" ht="25.5" x14ac:dyDescent="0.35">
      <c r="B210" s="311" t="s">
        <v>355</v>
      </c>
      <c r="C210" s="295"/>
      <c r="D210" s="295"/>
      <c r="E210" s="317"/>
      <c r="F210" s="313">
        <f t="shared" si="9"/>
        <v>8768</v>
      </c>
      <c r="G210" s="317"/>
      <c r="H210" s="313">
        <v>8768</v>
      </c>
      <c r="I210" s="318"/>
      <c r="J210" s="313"/>
      <c r="K210" s="318"/>
      <c r="L210" s="313"/>
      <c r="M210" s="318"/>
      <c r="O210" s="318"/>
      <c r="P210" s="313"/>
      <c r="Q210" s="318"/>
      <c r="R210" s="313"/>
      <c r="S210" s="318"/>
      <c r="T210" s="318"/>
    </row>
    <row r="211" spans="2:20" s="284" customFormat="1" ht="25.5" x14ac:dyDescent="0.35">
      <c r="B211" s="311" t="s">
        <v>356</v>
      </c>
      <c r="C211" s="295"/>
      <c r="D211" s="295"/>
      <c r="E211" s="317"/>
      <c r="F211" s="313">
        <f t="shared" si="9"/>
        <v>90</v>
      </c>
      <c r="G211" s="317"/>
      <c r="H211" s="313">
        <v>90</v>
      </c>
      <c r="I211" s="318"/>
      <c r="J211" s="313"/>
      <c r="K211" s="318"/>
      <c r="L211" s="313"/>
      <c r="M211" s="318"/>
      <c r="O211" s="318"/>
      <c r="P211" s="313"/>
      <c r="Q211" s="318"/>
      <c r="R211" s="313"/>
      <c r="S211" s="318"/>
      <c r="T211" s="318"/>
    </row>
    <row r="212" spans="2:20" s="284" customFormat="1" ht="25.5" hidden="1" x14ac:dyDescent="0.35">
      <c r="B212" s="311" t="s">
        <v>357</v>
      </c>
      <c r="C212" s="295"/>
      <c r="D212" s="295"/>
      <c r="E212" s="317"/>
      <c r="F212" s="313">
        <f t="shared" si="9"/>
        <v>0</v>
      </c>
      <c r="G212" s="317"/>
      <c r="H212" s="313"/>
      <c r="I212" s="318"/>
      <c r="J212" s="313"/>
      <c r="K212" s="318"/>
      <c r="L212" s="313"/>
      <c r="M212" s="318"/>
      <c r="O212" s="318"/>
      <c r="P212" s="313"/>
      <c r="Q212" s="318"/>
      <c r="R212" s="313"/>
      <c r="S212" s="318"/>
      <c r="T212" s="318"/>
    </row>
    <row r="213" spans="2:20" s="284" customFormat="1" ht="25.5" x14ac:dyDescent="0.35">
      <c r="B213" s="311" t="s">
        <v>358</v>
      </c>
      <c r="C213" s="295"/>
      <c r="D213" s="295"/>
      <c r="E213" s="317"/>
      <c r="F213" s="313">
        <f t="shared" si="9"/>
        <v>1737</v>
      </c>
      <c r="G213" s="317"/>
      <c r="H213" s="313"/>
      <c r="I213" s="318"/>
      <c r="J213" s="313">
        <v>1737</v>
      </c>
      <c r="K213" s="318"/>
      <c r="L213" s="313"/>
      <c r="M213" s="318"/>
      <c r="O213" s="318"/>
      <c r="P213" s="313"/>
      <c r="Q213" s="318"/>
      <c r="R213" s="313"/>
      <c r="S213" s="318"/>
      <c r="T213" s="318"/>
    </row>
    <row r="214" spans="2:20" s="284" customFormat="1" ht="25.5" x14ac:dyDescent="0.35">
      <c r="B214" s="323" t="s">
        <v>359</v>
      </c>
      <c r="C214" s="295"/>
      <c r="D214" s="295"/>
      <c r="E214" s="317"/>
      <c r="F214" s="313"/>
      <c r="G214" s="317"/>
      <c r="H214" s="313"/>
      <c r="I214" s="318"/>
      <c r="J214" s="313"/>
      <c r="K214" s="318"/>
      <c r="L214" s="313"/>
      <c r="M214" s="318"/>
      <c r="O214" s="318"/>
      <c r="P214" s="313"/>
      <c r="Q214" s="318"/>
      <c r="R214" s="313"/>
      <c r="S214" s="318"/>
      <c r="T214" s="318"/>
    </row>
    <row r="215" spans="2:20" s="284" customFormat="1" ht="25.5" x14ac:dyDescent="0.35">
      <c r="B215" s="323" t="s">
        <v>360</v>
      </c>
      <c r="C215" s="295"/>
      <c r="D215" s="295"/>
      <c r="E215" s="317"/>
      <c r="F215" s="313">
        <f t="shared" si="9"/>
        <v>54118</v>
      </c>
      <c r="G215" s="317"/>
      <c r="H215" s="313"/>
      <c r="I215" s="318"/>
      <c r="J215" s="313"/>
      <c r="K215" s="318"/>
      <c r="L215" s="313"/>
      <c r="M215" s="318"/>
      <c r="O215" s="318"/>
      <c r="P215" s="322">
        <v>51683</v>
      </c>
      <c r="Q215" s="318"/>
      <c r="R215" s="313"/>
      <c r="S215" s="318"/>
      <c r="T215" s="318">
        <v>2435</v>
      </c>
    </row>
    <row r="216" spans="2:20" s="284" customFormat="1" ht="25.5" x14ac:dyDescent="0.35">
      <c r="B216" s="311" t="s">
        <v>361</v>
      </c>
      <c r="C216" s="295"/>
      <c r="D216" s="295"/>
      <c r="E216" s="317"/>
      <c r="F216" s="313">
        <f t="shared" si="9"/>
        <v>1594798</v>
      </c>
      <c r="G216" s="317"/>
      <c r="H216" s="313">
        <v>1594798</v>
      </c>
      <c r="I216" s="318"/>
      <c r="J216" s="313"/>
      <c r="K216" s="318"/>
      <c r="L216" s="313"/>
      <c r="M216" s="318"/>
      <c r="O216" s="318"/>
      <c r="P216" s="313"/>
      <c r="Q216" s="318"/>
      <c r="R216" s="313"/>
      <c r="S216" s="318"/>
      <c r="T216" s="318"/>
    </row>
    <row r="217" spans="2:20" s="284" customFormat="1" ht="25.5" x14ac:dyDescent="0.35">
      <c r="B217" s="311" t="s">
        <v>362</v>
      </c>
      <c r="C217" s="295"/>
      <c r="D217" s="295"/>
      <c r="E217" s="317"/>
      <c r="F217" s="313">
        <f t="shared" si="9"/>
        <v>753727</v>
      </c>
      <c r="G217" s="317"/>
      <c r="H217" s="313"/>
      <c r="I217" s="318"/>
      <c r="J217" s="313">
        <v>660496</v>
      </c>
      <c r="K217" s="318"/>
      <c r="L217" s="313"/>
      <c r="M217" s="318"/>
      <c r="O217" s="318"/>
      <c r="P217" s="313"/>
      <c r="Q217" s="318"/>
      <c r="R217" s="313">
        <v>93231</v>
      </c>
      <c r="S217" s="318"/>
      <c r="T217" s="318"/>
    </row>
    <row r="218" spans="2:20" s="284" customFormat="1" ht="25.5" x14ac:dyDescent="0.35">
      <c r="B218" s="323" t="s">
        <v>363</v>
      </c>
      <c r="C218" s="295"/>
      <c r="D218" s="295"/>
      <c r="E218" s="317"/>
      <c r="F218" s="313">
        <f t="shared" si="9"/>
        <v>960</v>
      </c>
      <c r="G218" s="317"/>
      <c r="H218" s="313">
        <v>960</v>
      </c>
      <c r="I218" s="313"/>
      <c r="J218" s="313"/>
      <c r="K218" s="313"/>
      <c r="L218" s="313"/>
      <c r="M218" s="313"/>
      <c r="N218" s="313"/>
      <c r="O218" s="313"/>
      <c r="P218" s="313"/>
      <c r="Q218" s="313"/>
      <c r="R218" s="313"/>
      <c r="S218" s="313"/>
      <c r="T218" s="313"/>
    </row>
    <row r="219" spans="2:20" s="284" customFormat="1" ht="25.5" x14ac:dyDescent="0.35">
      <c r="B219" s="323" t="s">
        <v>364</v>
      </c>
      <c r="C219" s="295"/>
      <c r="D219" s="295"/>
      <c r="E219" s="317"/>
      <c r="F219" s="313">
        <f t="shared" si="9"/>
        <v>535265</v>
      </c>
      <c r="G219" s="317"/>
      <c r="H219" s="313"/>
      <c r="I219" s="313"/>
      <c r="J219" s="313">
        <v>476386</v>
      </c>
      <c r="K219" s="313"/>
      <c r="L219" s="313"/>
      <c r="M219" s="313"/>
      <c r="N219" s="313"/>
      <c r="O219" s="313"/>
      <c r="P219" s="313"/>
      <c r="Q219" s="313"/>
      <c r="R219" s="313">
        <v>58879</v>
      </c>
      <c r="S219" s="313"/>
      <c r="T219" s="313"/>
    </row>
    <row r="220" spans="2:20" s="284" customFormat="1" ht="25.5" x14ac:dyDescent="0.35">
      <c r="B220" s="311" t="s">
        <v>365</v>
      </c>
      <c r="C220" s="295"/>
      <c r="D220" s="295"/>
      <c r="E220" s="317"/>
      <c r="F220" s="313">
        <f t="shared" si="9"/>
        <v>4162790</v>
      </c>
      <c r="G220" s="317"/>
      <c r="H220" s="313"/>
      <c r="I220" s="313"/>
      <c r="J220" s="313"/>
      <c r="K220" s="313"/>
      <c r="L220" s="313"/>
      <c r="M220" s="313"/>
      <c r="N220" s="313">
        <v>4162790</v>
      </c>
      <c r="O220" s="313"/>
      <c r="P220" s="313"/>
      <c r="Q220" s="313"/>
      <c r="R220" s="313"/>
      <c r="S220" s="313"/>
      <c r="T220" s="313"/>
    </row>
    <row r="221" spans="2:20" s="284" customFormat="1" ht="25.5" hidden="1" x14ac:dyDescent="0.35">
      <c r="B221" s="311" t="s">
        <v>366</v>
      </c>
      <c r="C221" s="295"/>
      <c r="D221" s="295"/>
      <c r="E221" s="317"/>
      <c r="F221" s="313">
        <f t="shared" si="9"/>
        <v>0</v>
      </c>
      <c r="G221" s="317"/>
      <c r="H221" s="313"/>
      <c r="I221" s="313"/>
      <c r="J221" s="313"/>
      <c r="K221" s="313"/>
      <c r="L221" s="313"/>
      <c r="M221" s="313"/>
      <c r="N221" s="313"/>
      <c r="O221" s="313"/>
      <c r="P221" s="313"/>
      <c r="Q221" s="313"/>
      <c r="R221" s="313"/>
      <c r="S221" s="313"/>
      <c r="T221" s="313"/>
    </row>
    <row r="222" spans="2:20" s="284" customFormat="1" ht="25.5" x14ac:dyDescent="0.35">
      <c r="B222" s="311" t="s">
        <v>367</v>
      </c>
      <c r="C222" s="295"/>
      <c r="D222" s="295"/>
      <c r="E222" s="317"/>
      <c r="F222" s="313">
        <f t="shared" si="9"/>
        <v>6260036</v>
      </c>
      <c r="G222" s="317"/>
      <c r="H222" s="313">
        <v>6260036</v>
      </c>
      <c r="I222" s="313"/>
      <c r="J222" s="313"/>
      <c r="K222" s="313"/>
      <c r="L222" s="313"/>
      <c r="M222" s="313"/>
      <c r="N222" s="313"/>
      <c r="O222" s="313"/>
      <c r="P222" s="313"/>
      <c r="Q222" s="313"/>
      <c r="R222" s="313"/>
      <c r="S222" s="313"/>
      <c r="T222" s="313"/>
    </row>
    <row r="223" spans="2:20" s="284" customFormat="1" ht="25.5" x14ac:dyDescent="0.35">
      <c r="B223" s="311" t="s">
        <v>368</v>
      </c>
      <c r="C223" s="295"/>
      <c r="D223" s="295"/>
      <c r="E223" s="317"/>
      <c r="F223" s="313">
        <f t="shared" si="9"/>
        <v>5592848</v>
      </c>
      <c r="G223" s="317"/>
      <c r="H223" s="313">
        <v>5304296</v>
      </c>
      <c r="I223" s="313"/>
      <c r="J223" s="313"/>
      <c r="K223" s="313"/>
      <c r="L223" s="313"/>
      <c r="M223" s="313"/>
      <c r="N223" s="313"/>
      <c r="O223" s="313"/>
      <c r="P223" s="313"/>
      <c r="Q223" s="313"/>
      <c r="R223" s="313">
        <v>288552</v>
      </c>
      <c r="S223" s="313"/>
      <c r="T223" s="313"/>
    </row>
    <row r="224" spans="2:20" s="284" customFormat="1" ht="25.5" x14ac:dyDescent="0.35">
      <c r="B224" s="311" t="s">
        <v>369</v>
      </c>
      <c r="C224" s="295"/>
      <c r="D224" s="295"/>
      <c r="E224" s="317"/>
      <c r="F224" s="313">
        <f t="shared" si="9"/>
        <v>575638</v>
      </c>
      <c r="G224" s="317"/>
      <c r="H224" s="313"/>
      <c r="I224" s="313"/>
      <c r="J224" s="313"/>
      <c r="K224" s="313"/>
      <c r="L224" s="313"/>
      <c r="M224" s="313"/>
      <c r="N224" s="313"/>
      <c r="O224" s="313"/>
      <c r="P224" s="313"/>
      <c r="Q224" s="313"/>
      <c r="R224" s="313">
        <v>575638</v>
      </c>
      <c r="S224" s="313"/>
      <c r="T224" s="313"/>
    </row>
    <row r="225" spans="2:20" s="284" customFormat="1" ht="25.5" x14ac:dyDescent="0.35">
      <c r="B225" s="311" t="s">
        <v>370</v>
      </c>
      <c r="C225" s="295"/>
      <c r="D225" s="295"/>
      <c r="E225" s="317"/>
      <c r="F225" s="313">
        <f t="shared" si="9"/>
        <v>28590</v>
      </c>
      <c r="G225" s="317"/>
      <c r="H225" s="313"/>
      <c r="I225" s="313"/>
      <c r="J225" s="313"/>
      <c r="K225" s="313"/>
      <c r="L225" s="313"/>
      <c r="M225" s="313"/>
      <c r="N225" s="313">
        <v>28590</v>
      </c>
      <c r="O225" s="313"/>
      <c r="P225" s="313"/>
      <c r="Q225" s="313"/>
      <c r="R225" s="313"/>
      <c r="S225" s="313"/>
      <c r="T225" s="313"/>
    </row>
    <row r="226" spans="2:20" s="284" customFormat="1" ht="25.5" x14ac:dyDescent="0.35">
      <c r="B226" s="311" t="s">
        <v>371</v>
      </c>
      <c r="C226" s="295"/>
      <c r="D226" s="295"/>
      <c r="E226" s="317"/>
      <c r="F226" s="313">
        <f t="shared" si="9"/>
        <v>1459</v>
      </c>
      <c r="G226" s="317"/>
      <c r="H226" s="313">
        <v>1459</v>
      </c>
      <c r="I226" s="313"/>
      <c r="J226" s="313"/>
      <c r="K226" s="313"/>
      <c r="L226" s="313"/>
      <c r="M226" s="313"/>
      <c r="N226" s="313"/>
      <c r="O226" s="313"/>
      <c r="P226" s="313"/>
      <c r="Q226" s="313"/>
      <c r="R226" s="313"/>
      <c r="S226" s="313"/>
      <c r="T226" s="313"/>
    </row>
    <row r="227" spans="2:20" s="284" customFormat="1" ht="25.5" x14ac:dyDescent="0.35">
      <c r="B227" s="311" t="s">
        <v>372</v>
      </c>
      <c r="C227" s="295"/>
      <c r="D227" s="295"/>
      <c r="E227" s="317"/>
      <c r="F227" s="313">
        <f t="shared" si="9"/>
        <v>1691250</v>
      </c>
      <c r="G227" s="317"/>
      <c r="H227" s="313"/>
      <c r="I227" s="313"/>
      <c r="J227" s="313"/>
      <c r="K227" s="313"/>
      <c r="L227" s="313">
        <v>1691250</v>
      </c>
      <c r="M227" s="313"/>
      <c r="N227" s="313"/>
      <c r="O227" s="313"/>
      <c r="P227" s="313"/>
      <c r="Q227" s="313"/>
      <c r="R227" s="313"/>
      <c r="S227" s="313"/>
      <c r="T227" s="313"/>
    </row>
    <row r="228" spans="2:20" s="284" customFormat="1" ht="25.5" x14ac:dyDescent="0.35">
      <c r="B228" s="337" t="s">
        <v>373</v>
      </c>
      <c r="C228" s="295"/>
      <c r="D228" s="295"/>
      <c r="E228" s="317"/>
      <c r="F228" s="313">
        <f t="shared" si="9"/>
        <v>780087</v>
      </c>
      <c r="G228" s="317"/>
      <c r="H228" s="313"/>
      <c r="I228" s="318"/>
      <c r="J228" s="313"/>
      <c r="K228" s="318"/>
      <c r="L228" s="313">
        <v>780087</v>
      </c>
      <c r="M228" s="318"/>
      <c r="N228" s="313"/>
      <c r="O228" s="318"/>
      <c r="P228" s="313"/>
      <c r="Q228" s="318"/>
      <c r="R228" s="313"/>
      <c r="S228" s="318"/>
      <c r="T228" s="318"/>
    </row>
    <row r="229" spans="2:20" s="284" customFormat="1" ht="25.5" x14ac:dyDescent="0.35">
      <c r="B229" s="311" t="s">
        <v>374</v>
      </c>
      <c r="C229" s="295"/>
      <c r="D229" s="295"/>
      <c r="E229" s="317"/>
      <c r="F229" s="313">
        <f t="shared" si="9"/>
        <v>3026171</v>
      </c>
      <c r="G229" s="317"/>
      <c r="H229" s="313">
        <v>217970</v>
      </c>
      <c r="I229" s="318"/>
      <c r="J229" s="313"/>
      <c r="K229" s="318"/>
      <c r="L229" s="313"/>
      <c r="M229" s="318"/>
      <c r="N229" s="313">
        <v>2808201</v>
      </c>
      <c r="O229" s="318"/>
      <c r="P229" s="313"/>
      <c r="Q229" s="318"/>
      <c r="R229" s="313"/>
      <c r="S229" s="318"/>
      <c r="T229" s="318"/>
    </row>
    <row r="230" spans="2:20" s="284" customFormat="1" ht="25.5" x14ac:dyDescent="0.35">
      <c r="B230" s="311" t="s">
        <v>375</v>
      </c>
      <c r="C230" s="295"/>
      <c r="D230" s="295"/>
      <c r="E230" s="317"/>
      <c r="F230" s="313">
        <f t="shared" si="9"/>
        <v>62653</v>
      </c>
      <c r="G230" s="317"/>
      <c r="H230" s="313">
        <v>62130</v>
      </c>
      <c r="I230" s="318"/>
      <c r="J230" s="313"/>
      <c r="K230" s="318"/>
      <c r="L230" s="313">
        <v>523</v>
      </c>
      <c r="M230" s="318"/>
      <c r="N230" s="313"/>
      <c r="O230" s="318"/>
      <c r="P230" s="313"/>
      <c r="Q230" s="318"/>
      <c r="R230" s="313"/>
      <c r="S230" s="318"/>
      <c r="T230" s="318"/>
    </row>
    <row r="231" spans="2:20" s="284" customFormat="1" ht="25.5" x14ac:dyDescent="0.35">
      <c r="B231" s="311" t="s">
        <v>376</v>
      </c>
      <c r="C231" s="295"/>
      <c r="D231" s="295"/>
      <c r="E231" s="317"/>
      <c r="F231" s="313">
        <f t="shared" si="9"/>
        <v>30715</v>
      </c>
      <c r="G231" s="317"/>
      <c r="H231" s="313">
        <v>30715</v>
      </c>
      <c r="I231" s="318"/>
      <c r="J231" s="313"/>
      <c r="K231" s="318"/>
      <c r="L231" s="313"/>
      <c r="M231" s="318"/>
      <c r="N231" s="313"/>
      <c r="O231" s="318"/>
      <c r="P231" s="313"/>
      <c r="Q231" s="318"/>
      <c r="R231" s="313"/>
      <c r="S231" s="318"/>
      <c r="T231" s="318"/>
    </row>
    <row r="232" spans="2:20" s="284" customFormat="1" ht="25.5" x14ac:dyDescent="0.35">
      <c r="B232" s="311" t="s">
        <v>377</v>
      </c>
      <c r="C232" s="295"/>
      <c r="D232" s="295"/>
      <c r="E232" s="317"/>
      <c r="F232" s="313">
        <f t="shared" si="9"/>
        <v>421</v>
      </c>
      <c r="G232" s="317"/>
      <c r="H232" s="313"/>
      <c r="I232" s="318"/>
      <c r="J232" s="313">
        <v>421</v>
      </c>
      <c r="K232" s="318"/>
      <c r="L232" s="313"/>
      <c r="M232" s="318"/>
      <c r="N232" s="313"/>
      <c r="O232" s="318"/>
      <c r="P232" s="313"/>
      <c r="Q232" s="318"/>
      <c r="R232" s="313"/>
      <c r="S232" s="318"/>
      <c r="T232" s="318"/>
    </row>
    <row r="233" spans="2:20" s="284" customFormat="1" ht="25.5" x14ac:dyDescent="0.35">
      <c r="B233" s="311" t="s">
        <v>378</v>
      </c>
      <c r="C233" s="295"/>
      <c r="D233" s="295"/>
      <c r="E233" s="317"/>
      <c r="F233" s="313">
        <f t="shared" si="9"/>
        <v>132582</v>
      </c>
      <c r="G233" s="317"/>
      <c r="H233" s="313">
        <v>132582</v>
      </c>
      <c r="I233" s="318"/>
      <c r="J233" s="313"/>
      <c r="K233" s="318"/>
      <c r="L233" s="313"/>
      <c r="M233" s="318"/>
      <c r="N233" s="313"/>
      <c r="O233" s="318"/>
      <c r="P233" s="313"/>
      <c r="Q233" s="318"/>
      <c r="R233" s="313"/>
      <c r="S233" s="318"/>
      <c r="T233" s="318"/>
    </row>
    <row r="234" spans="2:20" s="284" customFormat="1" ht="25.5" x14ac:dyDescent="0.35">
      <c r="B234" s="311" t="s">
        <v>379</v>
      </c>
      <c r="C234" s="295"/>
      <c r="D234" s="295"/>
      <c r="E234" s="317"/>
      <c r="F234" s="313">
        <f t="shared" si="9"/>
        <v>775801</v>
      </c>
      <c r="G234" s="317"/>
      <c r="H234" s="313">
        <v>337536</v>
      </c>
      <c r="I234" s="318"/>
      <c r="J234" s="313">
        <v>137</v>
      </c>
      <c r="K234" s="318"/>
      <c r="L234" s="313">
        <v>7000</v>
      </c>
      <c r="M234" s="318"/>
      <c r="N234" s="354">
        <v>431115</v>
      </c>
      <c r="O234" s="318"/>
      <c r="P234" s="354"/>
      <c r="Q234" s="318"/>
      <c r="R234" s="313">
        <v>13</v>
      </c>
      <c r="S234" s="318"/>
      <c r="T234" s="325"/>
    </row>
    <row r="235" spans="2:20" s="284" customFormat="1" ht="25.5" x14ac:dyDescent="0.35">
      <c r="B235" s="311"/>
      <c r="C235" s="295"/>
      <c r="D235" s="295"/>
      <c r="E235" s="317"/>
      <c r="F235" s="339">
        <f>SUM(F194:F234)</f>
        <v>90334575</v>
      </c>
      <c r="G235" s="317"/>
      <c r="H235" s="339">
        <f>SUM(H194:H234)</f>
        <v>58202777</v>
      </c>
      <c r="I235" s="318"/>
      <c r="J235" s="339">
        <f>SUM(J194:J234)</f>
        <v>7709079</v>
      </c>
      <c r="K235" s="318"/>
      <c r="L235" s="339">
        <f>SUM(L194:L234)</f>
        <v>15268833</v>
      </c>
      <c r="M235" s="313"/>
      <c r="N235" s="339">
        <f>SUM(N194:N234)</f>
        <v>7430696</v>
      </c>
      <c r="O235" s="313"/>
      <c r="P235" s="327">
        <f>SUM(P194:P234)</f>
        <v>51683</v>
      </c>
      <c r="Q235" s="318"/>
      <c r="R235" s="339">
        <f>SUM(R194:R234)</f>
        <v>1669072</v>
      </c>
      <c r="S235" s="318"/>
      <c r="T235" s="327">
        <f>SUM(T194:T234)</f>
        <v>2435</v>
      </c>
    </row>
    <row r="236" spans="2:20" s="284" customFormat="1" ht="25.5" hidden="1" customHeight="1" x14ac:dyDescent="0.35">
      <c r="B236" s="311"/>
      <c r="C236" s="295"/>
      <c r="D236" s="295"/>
      <c r="E236" s="317"/>
      <c r="F236" s="313"/>
      <c r="G236" s="317"/>
      <c r="H236" s="313"/>
      <c r="I236" s="318"/>
      <c r="J236" s="313"/>
      <c r="K236" s="318"/>
      <c r="L236" s="313"/>
      <c r="M236" s="313"/>
      <c r="N236" s="313"/>
      <c r="O236" s="313"/>
      <c r="P236" s="313"/>
      <c r="Q236" s="318"/>
      <c r="R236" s="313"/>
      <c r="S236" s="318"/>
    </row>
    <row r="237" spans="2:20" s="284" customFormat="1" ht="25.5" hidden="1" x14ac:dyDescent="0.35">
      <c r="B237" s="340" t="s">
        <v>380</v>
      </c>
      <c r="C237" s="295"/>
      <c r="D237" s="295"/>
      <c r="E237" s="317"/>
      <c r="F237" s="313"/>
      <c r="G237" s="317"/>
      <c r="H237" s="313"/>
      <c r="I237" s="318"/>
      <c r="J237" s="313"/>
      <c r="K237" s="318"/>
      <c r="L237" s="313"/>
      <c r="M237" s="313"/>
      <c r="N237" s="313"/>
      <c r="O237" s="313"/>
      <c r="P237" s="313"/>
      <c r="Q237" s="318"/>
      <c r="R237" s="313"/>
      <c r="S237" s="318"/>
    </row>
    <row r="238" spans="2:20" s="284" customFormat="1" ht="25.5" hidden="1" x14ac:dyDescent="0.35">
      <c r="B238" s="311" t="s">
        <v>380</v>
      </c>
      <c r="C238" s="295"/>
      <c r="D238" s="295"/>
      <c r="E238" s="317"/>
      <c r="F238" s="313">
        <f t="shared" ref="F238" si="10">+H238+J238+L238+N238+R238+P238+T238</f>
        <v>0</v>
      </c>
      <c r="G238" s="317"/>
      <c r="H238" s="313"/>
      <c r="I238" s="318"/>
      <c r="J238" s="313"/>
      <c r="K238" s="318"/>
      <c r="L238" s="313"/>
      <c r="M238" s="313"/>
      <c r="N238" s="313"/>
      <c r="O238" s="313"/>
      <c r="P238" s="313"/>
      <c r="Q238" s="318"/>
      <c r="R238" s="313"/>
      <c r="S238" s="318"/>
      <c r="T238" s="313"/>
    </row>
    <row r="239" spans="2:20" s="284" customFormat="1" ht="8.1" hidden="1" customHeight="1" x14ac:dyDescent="0.35">
      <c r="B239" s="326"/>
      <c r="C239" s="295"/>
      <c r="D239" s="295"/>
      <c r="E239" s="317"/>
      <c r="F239" s="362"/>
      <c r="G239" s="317"/>
      <c r="H239" s="362"/>
      <c r="I239" s="318"/>
      <c r="J239" s="362"/>
      <c r="K239" s="318"/>
      <c r="L239" s="362"/>
      <c r="M239" s="356"/>
      <c r="N239" s="362"/>
      <c r="O239" s="356"/>
      <c r="P239" s="362"/>
      <c r="Q239" s="318"/>
      <c r="R239" s="362"/>
      <c r="S239" s="318"/>
      <c r="T239" s="362"/>
    </row>
    <row r="240" spans="2:20" s="284" customFormat="1" ht="25.5" hidden="1" x14ac:dyDescent="0.35">
      <c r="B240" s="295"/>
      <c r="C240" s="295"/>
      <c r="D240" s="295"/>
      <c r="E240" s="317"/>
      <c r="F240" s="327">
        <f>SUM(F238:F239)</f>
        <v>0</v>
      </c>
      <c r="G240" s="317"/>
      <c r="H240" s="327">
        <f>SUM(H238:H239)</f>
        <v>0</v>
      </c>
      <c r="I240" s="318"/>
      <c r="J240" s="327">
        <f>SUM(J238:J239)</f>
        <v>0</v>
      </c>
      <c r="K240" s="318"/>
      <c r="L240" s="327">
        <f>SUM(L238:L239)</f>
        <v>0</v>
      </c>
      <c r="M240" s="327"/>
      <c r="N240" s="327">
        <f>SUM(N238:N239)</f>
        <v>0</v>
      </c>
      <c r="O240" s="327"/>
      <c r="P240" s="328">
        <f>SUM(P238:P239)</f>
        <v>0</v>
      </c>
      <c r="Q240" s="318"/>
      <c r="R240" s="327">
        <f>SUM(R238:R239)</f>
        <v>0</v>
      </c>
      <c r="S240" s="318"/>
      <c r="T240" s="328">
        <f>SUM(T238:T239)</f>
        <v>0</v>
      </c>
    </row>
    <row r="241" spans="2:33" hidden="1" x14ac:dyDescent="0.4">
      <c r="B241" s="293"/>
      <c r="C241" s="293"/>
      <c r="D241" s="293"/>
      <c r="E241" s="363"/>
      <c r="F241" s="327"/>
      <c r="G241" s="363"/>
      <c r="H241" s="327"/>
      <c r="I241" s="364"/>
      <c r="J241" s="327"/>
      <c r="K241" s="364"/>
      <c r="L241" s="327"/>
      <c r="M241" s="327"/>
      <c r="N241" s="327"/>
      <c r="O241" s="327"/>
      <c r="P241" s="327"/>
      <c r="Q241" s="364"/>
      <c r="R241" s="327"/>
      <c r="S241" s="365"/>
    </row>
    <row r="242" spans="2:33" s="284" customFormat="1" ht="25.5" x14ac:dyDescent="0.35">
      <c r="B242" s="340" t="s">
        <v>381</v>
      </c>
      <c r="C242" s="295"/>
      <c r="D242" s="295"/>
      <c r="E242" s="317"/>
      <c r="F242" s="318"/>
      <c r="G242" s="317"/>
      <c r="H242" s="318"/>
      <c r="I242" s="318"/>
      <c r="J242" s="318"/>
      <c r="K242" s="318"/>
      <c r="L242" s="318"/>
      <c r="M242" s="318"/>
      <c r="N242" s="318"/>
      <c r="O242" s="318"/>
      <c r="P242" s="318"/>
      <c r="Q242" s="318"/>
      <c r="R242" s="318"/>
      <c r="S242" s="318"/>
    </row>
    <row r="243" spans="2:33" s="284" customFormat="1" ht="25.5" x14ac:dyDescent="0.35">
      <c r="B243" s="323" t="s">
        <v>382</v>
      </c>
      <c r="C243" s="295"/>
      <c r="D243" s="295"/>
      <c r="E243" s="317"/>
      <c r="F243" s="313">
        <f>+H243+J243+L243+N243+R243+P243+T243</f>
        <v>33746699</v>
      </c>
      <c r="G243" s="341"/>
      <c r="H243" s="313">
        <v>33746699</v>
      </c>
      <c r="I243" s="342"/>
      <c r="J243" s="313"/>
      <c r="K243" s="342"/>
      <c r="L243" s="313"/>
      <c r="M243" s="327"/>
      <c r="N243" s="313"/>
      <c r="O243" s="327"/>
      <c r="P243" s="313"/>
      <c r="Q243" s="342"/>
      <c r="R243" s="313"/>
      <c r="S243" s="318"/>
      <c r="V243" s="316"/>
      <c r="W243" s="316"/>
      <c r="X243" s="316"/>
      <c r="Y243" s="316"/>
      <c r="Z243" s="316"/>
      <c r="AA243" s="316"/>
      <c r="AB243" s="316"/>
      <c r="AC243" s="316"/>
      <c r="AD243" s="316"/>
      <c r="AE243" s="316"/>
      <c r="AF243" s="316"/>
      <c r="AG243" s="316"/>
    </row>
    <row r="244" spans="2:33" s="284" customFormat="1" ht="25.5" x14ac:dyDescent="0.35">
      <c r="B244" s="323" t="s">
        <v>383</v>
      </c>
      <c r="C244" s="295"/>
      <c r="D244" s="295"/>
      <c r="E244" s="317"/>
      <c r="F244" s="354">
        <f>+H244+J244+L244+N244+R244+P244+T244</f>
        <v>2541165</v>
      </c>
      <c r="G244" s="317"/>
      <c r="H244" s="354">
        <v>2541165</v>
      </c>
      <c r="I244" s="318"/>
      <c r="J244" s="362"/>
      <c r="K244" s="318"/>
      <c r="L244" s="362"/>
      <c r="M244" s="356"/>
      <c r="N244" s="362"/>
      <c r="O244" s="356"/>
      <c r="P244" s="362"/>
      <c r="Q244" s="318"/>
      <c r="R244" s="362"/>
      <c r="S244" s="318"/>
      <c r="T244" s="362"/>
      <c r="V244" s="316"/>
      <c r="W244" s="316"/>
      <c r="X244" s="316"/>
      <c r="Y244" s="316"/>
      <c r="Z244" s="316"/>
      <c r="AA244" s="316"/>
      <c r="AB244" s="316"/>
      <c r="AC244" s="316"/>
      <c r="AD244" s="316"/>
      <c r="AE244" s="316"/>
      <c r="AF244" s="316"/>
      <c r="AG244" s="316"/>
    </row>
    <row r="245" spans="2:33" s="284" customFormat="1" ht="25.5" x14ac:dyDescent="0.35">
      <c r="B245" s="366"/>
      <c r="C245" s="295"/>
      <c r="D245" s="295"/>
      <c r="E245" s="317"/>
      <c r="F245" s="327">
        <f>SUM(F243:F244)</f>
        <v>36287864</v>
      </c>
      <c r="G245" s="317"/>
      <c r="H245" s="327">
        <f>SUM(H243:H244)</f>
        <v>36287864</v>
      </c>
      <c r="I245" s="342"/>
      <c r="J245" s="328">
        <f>SUM(J243:J244)</f>
        <v>0</v>
      </c>
      <c r="K245" s="342"/>
      <c r="L245" s="328">
        <f>SUM(L243:L244)</f>
        <v>0</v>
      </c>
      <c r="M245" s="327"/>
      <c r="N245" s="328">
        <f>SUM(N243:N244)</f>
        <v>0</v>
      </c>
      <c r="O245" s="327"/>
      <c r="P245" s="328">
        <f>SUM(P243:P244)</f>
        <v>0</v>
      </c>
      <c r="Q245" s="342"/>
      <c r="R245" s="328">
        <f>SUM(R243:R244)</f>
        <v>0</v>
      </c>
      <c r="S245" s="318"/>
      <c r="T245" s="328">
        <f>SUM(T243:T244)</f>
        <v>0</v>
      </c>
    </row>
    <row r="246" spans="2:33" s="284" customFormat="1" ht="25.5" x14ac:dyDescent="0.35">
      <c r="B246" s="366"/>
      <c r="C246" s="295"/>
      <c r="D246" s="295"/>
      <c r="E246" s="317"/>
      <c r="F246" s="327"/>
      <c r="G246" s="317"/>
      <c r="H246" s="327"/>
      <c r="I246" s="342"/>
      <c r="J246" s="327"/>
      <c r="K246" s="342"/>
      <c r="L246" s="327"/>
      <c r="M246" s="327"/>
      <c r="N246" s="327"/>
      <c r="O246" s="327"/>
      <c r="P246" s="327"/>
      <c r="Q246" s="342"/>
      <c r="R246" s="327"/>
      <c r="S246" s="318"/>
      <c r="T246" s="327"/>
    </row>
    <row r="247" spans="2:33" s="284" customFormat="1" ht="25.5" x14ac:dyDescent="0.35">
      <c r="B247" s="366"/>
      <c r="C247" s="295"/>
      <c r="D247" s="295"/>
      <c r="E247" s="317"/>
      <c r="F247" s="327"/>
      <c r="G247" s="317"/>
      <c r="H247" s="327"/>
      <c r="I247" s="342"/>
      <c r="J247" s="327"/>
      <c r="K247" s="342"/>
      <c r="L247" s="327"/>
      <c r="M247" s="327"/>
      <c r="N247" s="327"/>
      <c r="O247" s="327"/>
      <c r="P247" s="327"/>
      <c r="Q247" s="342"/>
      <c r="R247" s="327"/>
      <c r="S247" s="318"/>
      <c r="T247" s="327"/>
    </row>
    <row r="248" spans="2:33" s="284" customFormat="1" ht="25.5" x14ac:dyDescent="0.35">
      <c r="B248" s="366"/>
      <c r="C248" s="295"/>
      <c r="D248" s="295"/>
      <c r="E248" s="317"/>
      <c r="F248" s="327"/>
      <c r="G248" s="317"/>
      <c r="H248" s="327"/>
      <c r="I248" s="342"/>
      <c r="J248" s="327"/>
      <c r="K248" s="342"/>
      <c r="L248" s="327"/>
      <c r="M248" s="327"/>
      <c r="N248" s="327"/>
      <c r="O248" s="327"/>
      <c r="P248" s="327"/>
      <c r="Q248" s="342"/>
      <c r="R248" s="327"/>
      <c r="S248" s="318"/>
      <c r="T248" s="327"/>
    </row>
    <row r="249" spans="2:33" s="284" customFormat="1" ht="25.5" x14ac:dyDescent="0.35">
      <c r="B249" s="366"/>
      <c r="C249" s="295"/>
      <c r="D249" s="295"/>
      <c r="E249" s="317"/>
      <c r="F249" s="327"/>
      <c r="G249" s="317"/>
      <c r="H249" s="327"/>
      <c r="I249" s="342"/>
      <c r="J249" s="327"/>
      <c r="K249" s="342"/>
      <c r="L249" s="327"/>
      <c r="M249" s="327"/>
      <c r="N249" s="327"/>
      <c r="O249" s="327"/>
      <c r="P249" s="327"/>
      <c r="Q249" s="342"/>
      <c r="R249" s="327"/>
      <c r="S249" s="318"/>
      <c r="T249" s="327"/>
    </row>
    <row r="250" spans="2:33" s="284" customFormat="1" ht="25.5" x14ac:dyDescent="0.35">
      <c r="B250" s="340" t="s">
        <v>384</v>
      </c>
      <c r="C250" s="295"/>
      <c r="D250" s="295"/>
      <c r="E250" s="317"/>
      <c r="F250" s="318"/>
      <c r="G250" s="317"/>
      <c r="H250" s="318"/>
      <c r="I250" s="318"/>
      <c r="J250" s="318"/>
      <c r="K250" s="318"/>
      <c r="L250" s="318"/>
      <c r="M250" s="318"/>
      <c r="N250" s="318"/>
      <c r="O250" s="318"/>
      <c r="P250" s="318"/>
      <c r="Q250" s="318"/>
      <c r="R250" s="318"/>
      <c r="S250" s="318"/>
    </row>
    <row r="251" spans="2:33" s="284" customFormat="1" ht="25.5" x14ac:dyDescent="0.35">
      <c r="B251" s="311" t="s">
        <v>385</v>
      </c>
      <c r="C251" s="295"/>
      <c r="D251" s="295"/>
      <c r="E251" s="317"/>
      <c r="F251" s="354">
        <f>+H251+J251+L251+N251+R251+P251+T251</f>
        <v>28416098</v>
      </c>
      <c r="G251" s="341"/>
      <c r="H251" s="313"/>
      <c r="I251" s="342"/>
      <c r="J251" s="313"/>
      <c r="K251" s="342"/>
      <c r="L251" s="313"/>
      <c r="M251" s="327"/>
      <c r="N251" s="313"/>
      <c r="O251" s="327"/>
      <c r="P251" s="313"/>
      <c r="Q251" s="342"/>
      <c r="R251" s="313">
        <v>28416098</v>
      </c>
      <c r="S251" s="318"/>
      <c r="T251" s="313"/>
    </row>
    <row r="252" spans="2:33" s="284" customFormat="1" ht="25.5" hidden="1" x14ac:dyDescent="0.35">
      <c r="B252" s="311" t="s">
        <v>384</v>
      </c>
      <c r="C252" s="295"/>
      <c r="D252" s="295"/>
      <c r="E252" s="317"/>
      <c r="F252" s="354">
        <f>+H252+J252+L252+N252+R252+P252+T252</f>
        <v>0</v>
      </c>
      <c r="G252" s="341"/>
      <c r="H252" s="313"/>
      <c r="I252" s="318"/>
      <c r="J252" s="313"/>
      <c r="K252" s="318"/>
      <c r="L252" s="313"/>
      <c r="M252" s="313"/>
      <c r="N252" s="313"/>
      <c r="O252" s="313"/>
      <c r="P252" s="313"/>
      <c r="Q252" s="318"/>
      <c r="R252" s="313"/>
      <c r="S252" s="318"/>
      <c r="T252" s="354"/>
    </row>
    <row r="253" spans="2:33" s="284" customFormat="1" ht="25.5" x14ac:dyDescent="0.35">
      <c r="B253" s="295"/>
      <c r="C253" s="295"/>
      <c r="D253" s="295"/>
      <c r="E253" s="317"/>
      <c r="F253" s="356">
        <f>SUM(F251:F252)</f>
        <v>28416098</v>
      </c>
      <c r="G253" s="317"/>
      <c r="H253" s="367">
        <f>SUM(H251:H252)</f>
        <v>0</v>
      </c>
      <c r="I253" s="330"/>
      <c r="J253" s="367">
        <f>SUM(J251:J252)</f>
        <v>0</v>
      </c>
      <c r="K253" s="318"/>
      <c r="L253" s="367">
        <f>SUM(L251:L252)</f>
        <v>0</v>
      </c>
      <c r="M253" s="356"/>
      <c r="N253" s="367">
        <f>SUM(N251:N252)</f>
        <v>0</v>
      </c>
      <c r="O253" s="356"/>
      <c r="P253" s="367">
        <f>SUM(P251:P252)</f>
        <v>0</v>
      </c>
      <c r="Q253" s="318"/>
      <c r="R253" s="368">
        <f>SUM(R251:R252)</f>
        <v>28416098</v>
      </c>
      <c r="S253" s="318"/>
      <c r="T253" s="367">
        <f>SUM(T251:T252)</f>
        <v>0</v>
      </c>
    </row>
    <row r="254" spans="2:33" s="284" customFormat="1" ht="9" customHeight="1" x14ac:dyDescent="0.35">
      <c r="B254" s="295"/>
      <c r="C254" s="295"/>
      <c r="D254" s="295"/>
      <c r="E254" s="317"/>
      <c r="F254" s="362"/>
      <c r="G254" s="317"/>
      <c r="H254" s="362"/>
      <c r="I254" s="318"/>
      <c r="J254" s="362"/>
      <c r="K254" s="318"/>
      <c r="L254" s="362"/>
      <c r="M254" s="356"/>
      <c r="N254" s="362"/>
      <c r="O254" s="356"/>
      <c r="P254" s="362"/>
      <c r="Q254" s="318"/>
      <c r="R254" s="362"/>
      <c r="S254" s="318"/>
      <c r="T254" s="362"/>
    </row>
    <row r="255" spans="2:33" s="284" customFormat="1" ht="25.5" x14ac:dyDescent="0.35">
      <c r="B255" s="366" t="s">
        <v>386</v>
      </c>
      <c r="C255" s="295"/>
      <c r="D255" s="295"/>
      <c r="E255" s="317"/>
      <c r="F255" s="327">
        <f>+F240+F190-F253+F245+F235</f>
        <v>463131725</v>
      </c>
      <c r="G255" s="317"/>
      <c r="H255" s="327">
        <f>+H240+H190-H253+H245+H235</f>
        <v>139711054</v>
      </c>
      <c r="I255" s="342"/>
      <c r="J255" s="327">
        <f>+J240+J190-J253+J245+J235</f>
        <v>54135201</v>
      </c>
      <c r="K255" s="342"/>
      <c r="L255" s="327">
        <f>+L240+L190-L253+L245+L235</f>
        <v>86203775</v>
      </c>
      <c r="M255" s="327"/>
      <c r="N255" s="327">
        <f>+N240+N190-N253+N245+N235</f>
        <v>203433586</v>
      </c>
      <c r="O255" s="327"/>
      <c r="P255" s="327">
        <f>+P240+P190-P253+P245+P235</f>
        <v>51683</v>
      </c>
      <c r="Q255" s="342"/>
      <c r="R255" s="369">
        <f>+R240+R190-R253+R245+R235</f>
        <v>-20406009</v>
      </c>
      <c r="S255" s="318"/>
      <c r="T255" s="327">
        <f>+T240+T190-T253+T245+T235</f>
        <v>2435</v>
      </c>
    </row>
    <row r="256" spans="2:33" s="284" customFormat="1" ht="25.5" x14ac:dyDescent="0.35">
      <c r="B256" s="295"/>
      <c r="C256" s="295"/>
      <c r="D256" s="295"/>
      <c r="E256" s="317"/>
      <c r="F256" s="318"/>
      <c r="G256" s="317"/>
      <c r="H256" s="318"/>
      <c r="I256" s="318"/>
      <c r="J256" s="318"/>
      <c r="K256" s="318"/>
      <c r="L256" s="318"/>
      <c r="M256" s="318"/>
      <c r="N256" s="318"/>
      <c r="O256" s="318"/>
      <c r="P256" s="318"/>
      <c r="Q256" s="318"/>
      <c r="R256" s="318"/>
      <c r="S256" s="318"/>
    </row>
    <row r="257" spans="2:20" s="284" customFormat="1" ht="25.5" x14ac:dyDescent="0.35">
      <c r="B257" s="370" t="s">
        <v>387</v>
      </c>
      <c r="C257" s="295"/>
      <c r="D257" s="295"/>
      <c r="E257" s="317"/>
      <c r="F257" s="371">
        <f>F26-F148+F255</f>
        <v>-279026741.4800005</v>
      </c>
      <c r="G257" s="318"/>
      <c r="H257" s="371">
        <f>H26-H148+H255</f>
        <v>-11054053</v>
      </c>
      <c r="I257" s="318"/>
      <c r="J257" s="371">
        <f>J26-J148+J255</f>
        <v>-116796593.50999999</v>
      </c>
      <c r="K257" s="318"/>
      <c r="L257" s="371">
        <f>L26-L148+L255</f>
        <v>-848155074</v>
      </c>
      <c r="M257" s="327"/>
      <c r="N257" s="339">
        <f>N26-N148+N255</f>
        <v>701877376.81999993</v>
      </c>
      <c r="O257" s="327"/>
      <c r="P257" s="371">
        <f>P26-P148+P255</f>
        <v>-9607007</v>
      </c>
      <c r="Q257" s="318"/>
      <c r="R257" s="339">
        <f>R26-R148+R255</f>
        <v>4867333.2100000083</v>
      </c>
      <c r="S257" s="318"/>
      <c r="T257" s="371">
        <f>T26-T148+T255</f>
        <v>-158724</v>
      </c>
    </row>
    <row r="258" spans="2:20" s="284" customFormat="1" ht="25.5" x14ac:dyDescent="0.35">
      <c r="B258" s="370"/>
      <c r="C258" s="295"/>
      <c r="D258" s="295"/>
      <c r="E258" s="317"/>
      <c r="F258" s="327"/>
      <c r="G258" s="318"/>
      <c r="H258" s="327"/>
      <c r="I258" s="318"/>
      <c r="J258" s="327"/>
      <c r="K258" s="318"/>
      <c r="L258" s="327"/>
      <c r="M258" s="327"/>
      <c r="N258" s="327"/>
      <c r="O258" s="327"/>
      <c r="P258" s="327"/>
      <c r="Q258" s="318"/>
      <c r="R258" s="327"/>
      <c r="S258" s="318"/>
      <c r="T258" s="327"/>
    </row>
    <row r="259" spans="2:20" s="284" customFormat="1" ht="25.5" x14ac:dyDescent="0.35">
      <c r="B259" s="372" t="s">
        <v>388</v>
      </c>
      <c r="C259" s="295"/>
      <c r="D259" s="295"/>
      <c r="E259" s="317"/>
      <c r="F259" s="318"/>
      <c r="G259" s="317"/>
      <c r="H259" s="318"/>
      <c r="I259" s="318"/>
      <c r="J259" s="318"/>
      <c r="K259" s="318"/>
      <c r="L259" s="318"/>
      <c r="M259" s="318"/>
      <c r="N259" s="318"/>
      <c r="O259" s="318"/>
      <c r="P259" s="318"/>
      <c r="Q259" s="318"/>
      <c r="R259" s="318"/>
      <c r="S259" s="318"/>
    </row>
    <row r="260" spans="2:20" s="284" customFormat="1" ht="25.5" x14ac:dyDescent="0.35">
      <c r="B260" s="329" t="s">
        <v>389</v>
      </c>
      <c r="C260" s="295"/>
      <c r="D260" s="295"/>
      <c r="E260" s="317"/>
      <c r="F260" s="318"/>
      <c r="G260" s="317"/>
      <c r="H260" s="318"/>
      <c r="I260" s="318"/>
      <c r="J260" s="318"/>
      <c r="K260" s="318"/>
      <c r="L260" s="318"/>
      <c r="M260" s="318"/>
      <c r="N260" s="318"/>
      <c r="O260" s="318"/>
      <c r="P260" s="318"/>
      <c r="Q260" s="318"/>
      <c r="R260" s="318"/>
      <c r="S260" s="318"/>
    </row>
    <row r="261" spans="2:20" s="284" customFormat="1" ht="25.5" x14ac:dyDescent="0.35">
      <c r="B261" s="323" t="s">
        <v>390</v>
      </c>
      <c r="C261" s="295"/>
      <c r="D261" s="295"/>
      <c r="E261" s="317"/>
      <c r="F261" s="313">
        <f>+H261+J261+L261+N261+R261+P261+T261</f>
        <v>132848000</v>
      </c>
      <c r="G261" s="317"/>
      <c r="H261" s="313">
        <v>132848000</v>
      </c>
      <c r="I261" s="318"/>
      <c r="J261" s="313"/>
      <c r="K261" s="318"/>
      <c r="L261" s="313"/>
      <c r="M261" s="313"/>
      <c r="N261" s="313"/>
      <c r="O261" s="313"/>
      <c r="P261" s="313"/>
      <c r="Q261" s="318"/>
      <c r="R261" s="313"/>
      <c r="S261" s="318"/>
    </row>
    <row r="262" spans="2:20" s="284" customFormat="1" ht="25.5" x14ac:dyDescent="0.35">
      <c r="B262" s="323" t="s">
        <v>391</v>
      </c>
      <c r="C262" s="295"/>
      <c r="D262" s="295"/>
      <c r="E262" s="317"/>
      <c r="F262" s="313">
        <f>+H262+J262+L262+N262+R262+P262+T262</f>
        <v>680000</v>
      </c>
      <c r="G262" s="317"/>
      <c r="H262" s="313">
        <v>680000</v>
      </c>
      <c r="I262" s="318"/>
      <c r="J262" s="313"/>
      <c r="K262" s="318"/>
      <c r="L262" s="313"/>
      <c r="M262" s="313"/>
      <c r="N262" s="313"/>
      <c r="O262" s="313"/>
      <c r="P262" s="313"/>
      <c r="Q262" s="318"/>
      <c r="R262" s="313"/>
      <c r="S262" s="318"/>
    </row>
    <row r="263" spans="2:20" s="284" customFormat="1" ht="25.5" x14ac:dyDescent="0.35">
      <c r="B263" s="311" t="s">
        <v>392</v>
      </c>
      <c r="C263" s="295"/>
      <c r="D263" s="295"/>
      <c r="E263" s="317"/>
      <c r="F263" s="313">
        <f>+H263+J263+L263+N263+R263+P263+T263</f>
        <v>20500000</v>
      </c>
      <c r="G263" s="317"/>
      <c r="H263" s="313"/>
      <c r="I263" s="318"/>
      <c r="J263" s="313"/>
      <c r="K263" s="318"/>
      <c r="L263" s="313">
        <v>20500000</v>
      </c>
      <c r="M263" s="313"/>
      <c r="N263" s="313"/>
      <c r="O263" s="313"/>
      <c r="P263" s="313"/>
      <c r="Q263" s="318"/>
      <c r="R263" s="313"/>
      <c r="S263" s="318"/>
    </row>
    <row r="264" spans="2:20" s="284" customFormat="1" ht="25.5" x14ac:dyDescent="0.35">
      <c r="B264" s="323" t="s">
        <v>393</v>
      </c>
      <c r="C264" s="295"/>
      <c r="D264" s="295"/>
      <c r="E264" s="317"/>
      <c r="F264" s="313"/>
      <c r="G264" s="317"/>
      <c r="H264" s="313"/>
      <c r="I264" s="318"/>
      <c r="J264" s="313"/>
      <c r="K264" s="318"/>
      <c r="L264" s="313"/>
      <c r="M264" s="313"/>
      <c r="N264" s="313"/>
      <c r="O264" s="313"/>
      <c r="P264" s="313"/>
      <c r="Q264" s="318"/>
      <c r="R264" s="313"/>
      <c r="S264" s="318"/>
    </row>
    <row r="265" spans="2:20" s="284" customFormat="1" ht="25.5" x14ac:dyDescent="0.35">
      <c r="B265" s="323" t="s">
        <v>394</v>
      </c>
      <c r="C265" s="295"/>
      <c r="D265" s="295"/>
      <c r="E265" s="317"/>
      <c r="F265" s="313">
        <f>+H265+J265+L265+N265+R265+P265+T265</f>
        <v>16779848</v>
      </c>
      <c r="G265" s="317"/>
      <c r="H265" s="313">
        <v>7317009</v>
      </c>
      <c r="I265" s="318"/>
      <c r="J265" s="313"/>
      <c r="K265" s="318"/>
      <c r="L265" s="313"/>
      <c r="M265" s="313"/>
      <c r="N265" s="313"/>
      <c r="O265" s="313"/>
      <c r="P265" s="322">
        <v>9462839</v>
      </c>
      <c r="Q265" s="318"/>
      <c r="R265" s="313"/>
      <c r="S265" s="318"/>
      <c r="T265" s="313"/>
    </row>
    <row r="266" spans="2:20" s="284" customFormat="1" ht="25.5" x14ac:dyDescent="0.35">
      <c r="B266" s="323" t="s">
        <v>395</v>
      </c>
      <c r="C266" s="295"/>
      <c r="D266" s="295"/>
      <c r="E266" s="317"/>
      <c r="F266" s="313">
        <f>+H266+J266+L266+N266+R266+P266+T266</f>
        <v>90000</v>
      </c>
      <c r="G266" s="317"/>
      <c r="H266" s="313">
        <v>90000</v>
      </c>
      <c r="I266" s="318"/>
      <c r="J266" s="313"/>
      <c r="K266" s="318"/>
      <c r="L266" s="313"/>
      <c r="M266" s="313"/>
      <c r="N266" s="313"/>
      <c r="O266" s="313"/>
      <c r="P266" s="313"/>
      <c r="Q266" s="318"/>
      <c r="R266" s="313"/>
      <c r="S266" s="318"/>
    </row>
    <row r="267" spans="2:20" s="284" customFormat="1" ht="25.5" x14ac:dyDescent="0.35">
      <c r="B267" s="323" t="s">
        <v>396</v>
      </c>
      <c r="C267" s="295"/>
      <c r="D267" s="295"/>
      <c r="E267" s="317"/>
      <c r="F267" s="313"/>
      <c r="G267" s="317"/>
      <c r="H267" s="313"/>
      <c r="I267" s="318"/>
      <c r="J267" s="313"/>
      <c r="K267" s="318"/>
      <c r="L267" s="313"/>
      <c r="M267" s="313"/>
      <c r="N267" s="313"/>
      <c r="O267" s="313"/>
      <c r="P267" s="313"/>
      <c r="Q267" s="318"/>
      <c r="R267" s="313"/>
      <c r="S267" s="318"/>
    </row>
    <row r="268" spans="2:20" s="284" customFormat="1" ht="25.5" x14ac:dyDescent="0.35">
      <c r="B268" s="323" t="s">
        <v>397</v>
      </c>
      <c r="C268" s="295"/>
      <c r="D268" s="295"/>
      <c r="E268" s="317"/>
      <c r="F268" s="313">
        <f t="shared" ref="F268:F283" si="11">+H268+J268+L268+N268+R268+P268+T268</f>
        <v>12726000</v>
      </c>
      <c r="G268" s="317"/>
      <c r="H268" s="313"/>
      <c r="I268" s="318"/>
      <c r="J268" s="313"/>
      <c r="K268" s="318"/>
      <c r="L268" s="313"/>
      <c r="M268" s="313"/>
      <c r="N268" s="313"/>
      <c r="O268" s="313"/>
      <c r="P268" s="322">
        <v>12216960</v>
      </c>
      <c r="Q268" s="318"/>
      <c r="R268" s="313"/>
      <c r="S268" s="318"/>
      <c r="T268" s="313">
        <v>509040</v>
      </c>
    </row>
    <row r="269" spans="2:20" s="284" customFormat="1" ht="25.5" x14ac:dyDescent="0.35">
      <c r="B269" s="334" t="s">
        <v>398</v>
      </c>
      <c r="C269" s="295"/>
      <c r="D269" s="295"/>
      <c r="E269" s="317"/>
      <c r="F269" s="313">
        <f t="shared" si="11"/>
        <v>25000000</v>
      </c>
      <c r="G269" s="317"/>
      <c r="H269" s="313"/>
      <c r="I269" s="318"/>
      <c r="J269" s="313">
        <v>25000000</v>
      </c>
      <c r="K269" s="318"/>
      <c r="L269" s="313"/>
      <c r="M269" s="356"/>
      <c r="N269" s="313"/>
      <c r="O269" s="356"/>
      <c r="P269" s="313"/>
      <c r="Q269" s="318"/>
      <c r="R269" s="313"/>
      <c r="S269" s="318"/>
      <c r="T269" s="313"/>
    </row>
    <row r="270" spans="2:20" s="284" customFormat="1" ht="25.5" x14ac:dyDescent="0.35">
      <c r="B270" s="323" t="s">
        <v>399</v>
      </c>
      <c r="C270" s="295"/>
      <c r="D270" s="295"/>
      <c r="E270" s="317"/>
      <c r="F270" s="313">
        <f t="shared" si="11"/>
        <v>42909399</v>
      </c>
      <c r="G270" s="317"/>
      <c r="H270" s="313"/>
      <c r="I270" s="318"/>
      <c r="J270" s="313"/>
      <c r="K270" s="318"/>
      <c r="L270" s="313">
        <v>40909396</v>
      </c>
      <c r="M270" s="356"/>
      <c r="N270" s="313">
        <v>189380</v>
      </c>
      <c r="O270" s="356"/>
      <c r="P270" s="313"/>
      <c r="Q270" s="318"/>
      <c r="R270" s="313">
        <v>1810623</v>
      </c>
      <c r="S270" s="318"/>
    </row>
    <row r="271" spans="2:20" s="284" customFormat="1" ht="25.5" x14ac:dyDescent="0.35">
      <c r="B271" s="323" t="s">
        <v>400</v>
      </c>
      <c r="C271" s="295"/>
      <c r="D271" s="295"/>
      <c r="E271" s="317"/>
      <c r="F271" s="313">
        <f t="shared" si="11"/>
        <v>55941722</v>
      </c>
      <c r="G271" s="317"/>
      <c r="H271" s="313"/>
      <c r="I271" s="318"/>
      <c r="J271" s="313"/>
      <c r="K271" s="318"/>
      <c r="L271" s="313">
        <v>53849232</v>
      </c>
      <c r="M271" s="356"/>
      <c r="N271" s="313">
        <v>6144</v>
      </c>
      <c r="O271" s="356"/>
      <c r="P271" s="313"/>
      <c r="Q271" s="318"/>
      <c r="R271" s="313">
        <v>2086346</v>
      </c>
      <c r="S271" s="318"/>
      <c r="T271" s="313"/>
    </row>
    <row r="272" spans="2:20" s="284" customFormat="1" ht="25.5" x14ac:dyDescent="0.35">
      <c r="B272" s="337" t="s">
        <v>401</v>
      </c>
      <c r="C272" s="295"/>
      <c r="D272" s="295"/>
      <c r="E272" s="317"/>
      <c r="F272" s="313">
        <f t="shared" si="11"/>
        <v>4494240</v>
      </c>
      <c r="G272" s="317"/>
      <c r="H272" s="313"/>
      <c r="I272" s="318"/>
      <c r="J272" s="313"/>
      <c r="K272" s="318"/>
      <c r="L272" s="313">
        <v>4470783</v>
      </c>
      <c r="M272" s="356"/>
      <c r="N272" s="313">
        <v>23457</v>
      </c>
      <c r="O272" s="356"/>
      <c r="P272" s="313"/>
      <c r="Q272" s="318"/>
      <c r="R272" s="313"/>
      <c r="S272" s="318"/>
      <c r="T272" s="313"/>
    </row>
    <row r="273" spans="1:20" s="284" customFormat="1" ht="25.5" x14ac:dyDescent="0.35">
      <c r="B273" s="323" t="s">
        <v>402</v>
      </c>
      <c r="C273" s="295"/>
      <c r="D273" s="295"/>
      <c r="E273" s="317"/>
      <c r="F273" s="313">
        <f t="shared" si="11"/>
        <v>17454978</v>
      </c>
      <c r="G273" s="317"/>
      <c r="H273" s="313"/>
      <c r="I273" s="318"/>
      <c r="J273" s="313"/>
      <c r="K273" s="318"/>
      <c r="L273" s="313">
        <v>17454978</v>
      </c>
      <c r="M273" s="356"/>
      <c r="N273" s="313"/>
      <c r="O273" s="356"/>
      <c r="P273" s="313"/>
      <c r="Q273" s="318"/>
      <c r="R273" s="313"/>
      <c r="S273" s="318"/>
      <c r="T273" s="313"/>
    </row>
    <row r="274" spans="1:20" s="284" customFormat="1" ht="25.5" x14ac:dyDescent="0.35">
      <c r="B274" s="334" t="s">
        <v>403</v>
      </c>
      <c r="C274" s="295"/>
      <c r="D274" s="295"/>
      <c r="E274" s="317"/>
      <c r="F274" s="313">
        <f t="shared" si="11"/>
        <v>1493870</v>
      </c>
      <c r="G274" s="317"/>
      <c r="H274" s="313"/>
      <c r="I274" s="318"/>
      <c r="J274" s="313"/>
      <c r="K274" s="318"/>
      <c r="L274" s="313">
        <v>1493363</v>
      </c>
      <c r="M274" s="356"/>
      <c r="N274" s="313">
        <v>507</v>
      </c>
      <c r="O274" s="356"/>
      <c r="P274" s="313"/>
      <c r="Q274" s="318"/>
      <c r="R274" s="313"/>
      <c r="S274" s="318"/>
    </row>
    <row r="275" spans="1:20" s="284" customFormat="1" ht="25.5" x14ac:dyDescent="0.35">
      <c r="B275" s="337" t="s">
        <v>404</v>
      </c>
      <c r="C275" s="295"/>
      <c r="D275" s="295"/>
      <c r="E275" s="317"/>
      <c r="F275" s="313">
        <f t="shared" si="11"/>
        <v>3295083</v>
      </c>
      <c r="G275" s="317"/>
      <c r="H275" s="313"/>
      <c r="I275" s="318"/>
      <c r="J275" s="313"/>
      <c r="K275" s="318"/>
      <c r="L275" s="313">
        <v>3295083</v>
      </c>
      <c r="M275" s="356"/>
      <c r="N275" s="313"/>
      <c r="O275" s="356"/>
      <c r="P275" s="313"/>
      <c r="Q275" s="318"/>
      <c r="R275" s="313"/>
      <c r="S275" s="318"/>
    </row>
    <row r="276" spans="1:20" s="284" customFormat="1" ht="25.5" x14ac:dyDescent="0.35">
      <c r="B276" s="337" t="s">
        <v>405</v>
      </c>
      <c r="C276" s="295"/>
      <c r="D276" s="295"/>
      <c r="E276" s="317"/>
      <c r="F276" s="313">
        <f t="shared" si="11"/>
        <v>1858917</v>
      </c>
      <c r="G276" s="317"/>
      <c r="H276" s="313"/>
      <c r="I276" s="318"/>
      <c r="J276" s="313"/>
      <c r="K276" s="318"/>
      <c r="L276" s="313">
        <v>1858917</v>
      </c>
      <c r="M276" s="356"/>
      <c r="N276" s="313"/>
      <c r="O276" s="356"/>
      <c r="P276" s="313"/>
      <c r="Q276" s="318"/>
      <c r="R276" s="313"/>
      <c r="S276" s="318"/>
    </row>
    <row r="277" spans="1:20" s="284" customFormat="1" ht="25.5" x14ac:dyDescent="0.35">
      <c r="B277" s="337" t="s">
        <v>406</v>
      </c>
      <c r="C277" s="295"/>
      <c r="D277" s="295"/>
      <c r="E277" s="317"/>
      <c r="F277" s="313">
        <f t="shared" si="11"/>
        <v>215</v>
      </c>
      <c r="G277" s="317"/>
      <c r="H277" s="313"/>
      <c r="I277" s="318"/>
      <c r="J277" s="313"/>
      <c r="K277" s="318"/>
      <c r="L277" s="313">
        <v>215</v>
      </c>
      <c r="M277" s="356"/>
      <c r="N277" s="313"/>
      <c r="O277" s="356"/>
      <c r="P277" s="313"/>
      <c r="Q277" s="318"/>
      <c r="R277" s="313"/>
      <c r="S277" s="318"/>
    </row>
    <row r="278" spans="1:20" s="284" customFormat="1" ht="25.5" x14ac:dyDescent="0.35">
      <c r="B278" s="337" t="s">
        <v>407</v>
      </c>
      <c r="C278" s="295"/>
      <c r="D278" s="295"/>
      <c r="E278" s="317"/>
      <c r="F278" s="313">
        <f t="shared" si="11"/>
        <v>4686400</v>
      </c>
      <c r="G278" s="317"/>
      <c r="H278" s="313"/>
      <c r="I278" s="318"/>
      <c r="J278" s="313"/>
      <c r="K278" s="318"/>
      <c r="L278" s="313">
        <v>4686400</v>
      </c>
      <c r="M278" s="356"/>
      <c r="N278" s="313"/>
      <c r="O278" s="356"/>
      <c r="P278" s="313"/>
      <c r="Q278" s="318"/>
      <c r="R278" s="313"/>
      <c r="S278" s="318"/>
    </row>
    <row r="279" spans="1:20" s="284" customFormat="1" ht="25.5" x14ac:dyDescent="0.35">
      <c r="B279" s="337" t="s">
        <v>408</v>
      </c>
      <c r="C279" s="295"/>
      <c r="D279" s="295"/>
      <c r="E279" s="317"/>
      <c r="F279" s="313">
        <f t="shared" si="11"/>
        <v>827000</v>
      </c>
      <c r="G279" s="317"/>
      <c r="H279" s="313"/>
      <c r="I279" s="318"/>
      <c r="J279" s="313"/>
      <c r="K279" s="318"/>
      <c r="L279" s="313">
        <v>827000</v>
      </c>
      <c r="M279" s="356"/>
      <c r="N279" s="313"/>
      <c r="O279" s="356"/>
      <c r="P279" s="313"/>
      <c r="Q279" s="318"/>
      <c r="R279" s="313"/>
      <c r="S279" s="318"/>
    </row>
    <row r="280" spans="1:20" s="284" customFormat="1" ht="25.5" x14ac:dyDescent="0.35">
      <c r="B280" s="337" t="s">
        <v>409</v>
      </c>
      <c r="C280" s="295"/>
      <c r="D280" s="295"/>
      <c r="E280" s="317"/>
      <c r="F280" s="313">
        <f t="shared" si="11"/>
        <v>378000</v>
      </c>
      <c r="G280" s="317"/>
      <c r="H280" s="313"/>
      <c r="I280" s="318"/>
      <c r="J280" s="313"/>
      <c r="K280" s="318"/>
      <c r="L280" s="313">
        <v>378000</v>
      </c>
      <c r="M280" s="356"/>
      <c r="N280" s="313"/>
      <c r="O280" s="356"/>
      <c r="P280" s="313"/>
      <c r="Q280" s="318"/>
      <c r="R280" s="313"/>
      <c r="S280" s="318"/>
    </row>
    <row r="281" spans="1:20" s="284" customFormat="1" ht="25.5" x14ac:dyDescent="0.35">
      <c r="B281" s="337" t="s">
        <v>410</v>
      </c>
      <c r="C281" s="295"/>
      <c r="D281" s="295"/>
      <c r="E281" s="317"/>
      <c r="F281" s="313">
        <f t="shared" si="11"/>
        <v>784000</v>
      </c>
      <c r="G281" s="317"/>
      <c r="H281" s="313"/>
      <c r="I281" s="318"/>
      <c r="J281" s="313"/>
      <c r="K281" s="318"/>
      <c r="L281" s="313">
        <v>784000</v>
      </c>
      <c r="M281" s="356"/>
      <c r="N281" s="313"/>
      <c r="O281" s="356"/>
      <c r="P281" s="313"/>
      <c r="Q281" s="318"/>
      <c r="R281" s="313"/>
      <c r="S281" s="318"/>
    </row>
    <row r="282" spans="1:20" s="284" customFormat="1" ht="25.5" x14ac:dyDescent="0.35">
      <c r="B282" s="337" t="s">
        <v>411</v>
      </c>
      <c r="C282" s="295"/>
      <c r="D282" s="295"/>
      <c r="E282" s="317"/>
      <c r="F282" s="313">
        <f t="shared" si="11"/>
        <v>16800</v>
      </c>
      <c r="G282" s="317"/>
      <c r="H282" s="313"/>
      <c r="I282" s="318"/>
      <c r="J282" s="313"/>
      <c r="K282" s="318"/>
      <c r="L282" s="313">
        <v>16800</v>
      </c>
      <c r="M282" s="356"/>
      <c r="N282" s="313"/>
      <c r="O282" s="356"/>
      <c r="P282" s="313"/>
      <c r="Q282" s="318"/>
      <c r="R282" s="313"/>
      <c r="S282" s="318"/>
    </row>
    <row r="283" spans="1:20" s="284" customFormat="1" ht="25.5" x14ac:dyDescent="0.35">
      <c r="B283" s="337" t="s">
        <v>412</v>
      </c>
      <c r="C283" s="295"/>
      <c r="D283" s="295"/>
      <c r="E283" s="317"/>
      <c r="F283" s="313">
        <f t="shared" si="11"/>
        <v>37800</v>
      </c>
      <c r="G283" s="317"/>
      <c r="H283" s="313"/>
      <c r="I283" s="318"/>
      <c r="J283" s="313"/>
      <c r="K283" s="318"/>
      <c r="L283" s="313">
        <v>37800</v>
      </c>
      <c r="M283" s="356"/>
      <c r="N283" s="313"/>
      <c r="O283" s="356"/>
      <c r="P283" s="313"/>
      <c r="Q283" s="318"/>
      <c r="R283" s="313"/>
      <c r="S283" s="318"/>
    </row>
    <row r="284" spans="1:20" s="284" customFormat="1" ht="25.5" x14ac:dyDescent="0.35">
      <c r="B284" s="326"/>
      <c r="C284" s="295"/>
      <c r="D284" s="295"/>
      <c r="E284" s="317"/>
      <c r="F284" s="339">
        <f>SUM(F261:F283)</f>
        <v>342802272</v>
      </c>
      <c r="G284" s="317"/>
      <c r="H284" s="339">
        <f>SUM(H261:H283)</f>
        <v>140935009</v>
      </c>
      <c r="I284" s="318"/>
      <c r="J284" s="339">
        <f>SUM(J261:J283)</f>
        <v>25000000</v>
      </c>
      <c r="K284" s="318"/>
      <c r="L284" s="339">
        <f>SUM(L261:L283)</f>
        <v>150561967</v>
      </c>
      <c r="M284" s="327"/>
      <c r="N284" s="339">
        <f>SUM(N261:N283)</f>
        <v>219488</v>
      </c>
      <c r="O284" s="327"/>
      <c r="P284" s="339">
        <f>SUM(P261:P283)</f>
        <v>21679799</v>
      </c>
      <c r="Q284" s="318"/>
      <c r="R284" s="339">
        <f>SUM(R261:R283)</f>
        <v>3896969</v>
      </c>
      <c r="S284" s="318"/>
      <c r="T284" s="339">
        <f>SUM(T261:T283)</f>
        <v>509040</v>
      </c>
    </row>
    <row r="285" spans="1:20" s="284" customFormat="1" ht="25.5" x14ac:dyDescent="0.35">
      <c r="B285" s="326"/>
      <c r="C285" s="295"/>
      <c r="D285" s="295"/>
      <c r="E285" s="317"/>
      <c r="F285" s="327"/>
      <c r="G285" s="317"/>
      <c r="H285" s="327"/>
      <c r="I285" s="318"/>
      <c r="J285" s="327"/>
      <c r="K285" s="318"/>
      <c r="L285" s="327"/>
      <c r="M285" s="327"/>
      <c r="N285" s="327"/>
      <c r="O285" s="327"/>
      <c r="P285" s="327"/>
      <c r="Q285" s="318"/>
      <c r="R285" s="327"/>
      <c r="S285" s="318"/>
      <c r="T285" s="327"/>
    </row>
    <row r="286" spans="1:20" s="284" customFormat="1" ht="25.5" x14ac:dyDescent="0.35">
      <c r="A286" s="295"/>
      <c r="B286" s="311" t="s">
        <v>413</v>
      </c>
      <c r="C286" s="295"/>
      <c r="D286" s="295"/>
      <c r="E286" s="317"/>
      <c r="F286" s="313"/>
      <c r="G286" s="317"/>
      <c r="H286" s="313"/>
      <c r="I286" s="318"/>
      <c r="J286" s="313"/>
      <c r="K286" s="318"/>
      <c r="L286" s="313"/>
      <c r="M286" s="313"/>
      <c r="N286" s="313"/>
      <c r="O286" s="313"/>
      <c r="P286" s="313"/>
      <c r="Q286" s="318"/>
      <c r="R286" s="313"/>
      <c r="S286" s="318"/>
      <c r="T286" s="313"/>
    </row>
    <row r="287" spans="1:20" s="284" customFormat="1" ht="25.5" x14ac:dyDescent="0.35">
      <c r="A287" s="295"/>
      <c r="B287" s="311" t="s">
        <v>414</v>
      </c>
      <c r="C287" s="295"/>
      <c r="D287" s="295"/>
      <c r="E287" s="317"/>
      <c r="F287" s="371">
        <f>+F284+F257</f>
        <v>63775530.519999504</v>
      </c>
      <c r="G287" s="317"/>
      <c r="H287" s="339">
        <f>+H284+H257</f>
        <v>129880956</v>
      </c>
      <c r="I287" s="318"/>
      <c r="J287" s="371">
        <f>+J284+J257</f>
        <v>-91796593.50999999</v>
      </c>
      <c r="K287" s="318"/>
      <c r="L287" s="371">
        <f>+L284+L257</f>
        <v>-697593107</v>
      </c>
      <c r="M287" s="327"/>
      <c r="N287" s="339">
        <f>+N284+N257</f>
        <v>702096864.81999993</v>
      </c>
      <c r="O287" s="327"/>
      <c r="P287" s="339">
        <f>+P284+P257</f>
        <v>12072792</v>
      </c>
      <c r="Q287" s="318"/>
      <c r="R287" s="339">
        <f>+R284+R257</f>
        <v>8764302.2100000083</v>
      </c>
      <c r="S287" s="318"/>
      <c r="T287" s="339">
        <f>+T284+T257</f>
        <v>350316</v>
      </c>
    </row>
    <row r="288" spans="1:20" s="284" customFormat="1" ht="9.75" customHeight="1" x14ac:dyDescent="0.35">
      <c r="C288" s="295"/>
      <c r="D288" s="295"/>
      <c r="E288" s="317"/>
      <c r="F288" s="313"/>
      <c r="G288" s="317"/>
      <c r="H288" s="313"/>
      <c r="I288" s="318"/>
      <c r="J288" s="313"/>
      <c r="K288" s="318"/>
      <c r="L288" s="313"/>
      <c r="M288" s="313"/>
      <c r="N288" s="313"/>
      <c r="O288" s="313"/>
      <c r="P288" s="313"/>
      <c r="Q288" s="318"/>
      <c r="R288" s="313"/>
      <c r="S288" s="318"/>
    </row>
    <row r="289" spans="2:20" s="284" customFormat="1" ht="21.75" customHeight="1" x14ac:dyDescent="0.35">
      <c r="C289" s="295"/>
      <c r="D289" s="295"/>
      <c r="E289" s="317"/>
      <c r="F289" s="313"/>
      <c r="G289" s="317"/>
      <c r="H289" s="313"/>
      <c r="I289" s="318"/>
      <c r="J289" s="313"/>
      <c r="K289" s="318"/>
      <c r="L289" s="313"/>
      <c r="M289" s="313"/>
      <c r="N289" s="313"/>
      <c r="O289" s="313"/>
      <c r="P289" s="313"/>
      <c r="Q289" s="318"/>
      <c r="R289" s="313"/>
      <c r="S289" s="318"/>
    </row>
    <row r="290" spans="2:20" s="284" customFormat="1" ht="25.5" x14ac:dyDescent="0.35">
      <c r="B290" s="373" t="s">
        <v>415</v>
      </c>
      <c r="C290" s="295"/>
      <c r="D290" s="295"/>
      <c r="E290" s="317"/>
      <c r="F290" s="313"/>
      <c r="G290" s="317"/>
      <c r="H290" s="313"/>
      <c r="I290" s="318"/>
      <c r="J290" s="313"/>
      <c r="K290" s="318"/>
      <c r="L290" s="313"/>
      <c r="M290" s="313"/>
      <c r="N290" s="313"/>
      <c r="O290" s="313"/>
      <c r="P290" s="313"/>
      <c r="Q290" s="318"/>
      <c r="R290" s="313"/>
      <c r="S290" s="318"/>
    </row>
    <row r="291" spans="2:20" s="284" customFormat="1" ht="25.5" x14ac:dyDescent="0.35">
      <c r="B291" s="310" t="s">
        <v>189</v>
      </c>
      <c r="C291" s="295"/>
      <c r="D291" s="295"/>
      <c r="E291" s="317"/>
      <c r="F291" s="313"/>
      <c r="G291" s="317"/>
      <c r="H291" s="313"/>
      <c r="I291" s="318"/>
      <c r="J291" s="313"/>
      <c r="K291" s="318"/>
      <c r="L291" s="313"/>
      <c r="M291" s="313"/>
      <c r="N291" s="313"/>
      <c r="O291" s="313"/>
      <c r="P291" s="313"/>
      <c r="Q291" s="318"/>
      <c r="R291" s="313"/>
      <c r="S291" s="318"/>
    </row>
    <row r="292" spans="2:20" s="284" customFormat="1" ht="25.5" x14ac:dyDescent="0.35">
      <c r="B292" s="323" t="s">
        <v>416</v>
      </c>
      <c r="C292" s="295"/>
      <c r="D292" s="295"/>
      <c r="E292" s="317"/>
      <c r="F292" s="313">
        <f>+H292+L292+J292+N292+R292+P292+T292</f>
        <v>57058142</v>
      </c>
      <c r="G292" s="317"/>
      <c r="H292" s="313">
        <v>4485360</v>
      </c>
      <c r="I292" s="318"/>
      <c r="J292" s="313">
        <v>20853011</v>
      </c>
      <c r="K292" s="318"/>
      <c r="L292" s="313">
        <v>23737941</v>
      </c>
      <c r="M292" s="313"/>
      <c r="N292" s="313">
        <v>7981242</v>
      </c>
      <c r="O292" s="313"/>
      <c r="P292" s="313"/>
      <c r="Q292" s="318"/>
      <c r="R292" s="313">
        <v>588</v>
      </c>
      <c r="S292" s="320"/>
    </row>
    <row r="293" spans="2:20" s="284" customFormat="1" ht="25.5" hidden="1" customHeight="1" x14ac:dyDescent="0.35">
      <c r="B293" s="311" t="s">
        <v>417</v>
      </c>
      <c r="C293" s="295"/>
      <c r="D293" s="295"/>
      <c r="E293" s="317"/>
      <c r="F293" s="313">
        <f>+H293+L293+J293+N293+R293+P293+T293</f>
        <v>0</v>
      </c>
      <c r="G293" s="317"/>
      <c r="H293" s="313"/>
      <c r="I293" s="318"/>
      <c r="J293" s="313"/>
      <c r="K293" s="318"/>
      <c r="L293" s="313"/>
      <c r="M293" s="313"/>
      <c r="N293" s="313"/>
      <c r="O293" s="313"/>
      <c r="P293" s="313"/>
      <c r="Q293" s="318"/>
      <c r="R293" s="313"/>
      <c r="S293" s="320"/>
    </row>
    <row r="294" spans="2:20" s="284" customFormat="1" ht="25.5" hidden="1" x14ac:dyDescent="0.35">
      <c r="B294" s="311" t="s">
        <v>418</v>
      </c>
      <c r="C294" s="295"/>
      <c r="D294" s="295"/>
      <c r="E294" s="317"/>
      <c r="F294" s="313">
        <f>+H294+L294+J294+N294+R294+P294+T294</f>
        <v>0</v>
      </c>
      <c r="G294" s="317"/>
      <c r="H294" s="313"/>
      <c r="I294" s="318"/>
      <c r="J294" s="313"/>
      <c r="K294" s="318"/>
      <c r="L294" s="313"/>
      <c r="M294" s="313"/>
      <c r="N294" s="313"/>
      <c r="O294" s="313"/>
      <c r="P294" s="313"/>
      <c r="Q294" s="318"/>
      <c r="R294" s="313"/>
      <c r="S294" s="320"/>
    </row>
    <row r="295" spans="2:20" s="284" customFormat="1" ht="25.5" hidden="1" customHeight="1" x14ac:dyDescent="0.35">
      <c r="B295" s="311" t="s">
        <v>419</v>
      </c>
      <c r="C295" s="295"/>
      <c r="D295" s="295"/>
      <c r="E295" s="317"/>
      <c r="F295" s="313">
        <f>+H295+L295+J295+N295+R295+P295+T295</f>
        <v>0</v>
      </c>
      <c r="G295" s="317"/>
      <c r="H295" s="313"/>
      <c r="I295" s="318"/>
      <c r="J295" s="313"/>
      <c r="K295" s="318"/>
      <c r="L295" s="313"/>
      <c r="M295" s="313"/>
      <c r="N295" s="313"/>
      <c r="O295" s="313"/>
      <c r="P295" s="313"/>
      <c r="Q295" s="318"/>
      <c r="R295" s="313"/>
      <c r="S295" s="320"/>
    </row>
    <row r="296" spans="2:20" s="284" customFormat="1" ht="27" customHeight="1" x14ac:dyDescent="0.35">
      <c r="B296" s="295"/>
      <c r="C296" s="295"/>
      <c r="D296" s="295"/>
      <c r="E296" s="317"/>
      <c r="F296" s="374">
        <f>SUM(F292:F295)</f>
        <v>57058142</v>
      </c>
      <c r="G296" s="317"/>
      <c r="H296" s="374">
        <f>SUM(H292:H295)</f>
        <v>4485360</v>
      </c>
      <c r="I296" s="318"/>
      <c r="J296" s="374">
        <f>SUM(J292:J295)</f>
        <v>20853011</v>
      </c>
      <c r="K296" s="318"/>
      <c r="L296" s="374">
        <f>SUM(L292:L295)</f>
        <v>23737941</v>
      </c>
      <c r="M296" s="327"/>
      <c r="N296" s="374">
        <f>SUM(N292:N295)</f>
        <v>7981242</v>
      </c>
      <c r="O296" s="327"/>
      <c r="P296" s="375">
        <f>SUM(P292:P295)</f>
        <v>0</v>
      </c>
      <c r="Q296" s="318"/>
      <c r="R296" s="376">
        <f>SUM(R292:R295)</f>
        <v>588</v>
      </c>
      <c r="S296" s="320"/>
      <c r="T296" s="375">
        <f>SUM(T292:T295)</f>
        <v>0</v>
      </c>
    </row>
    <row r="297" spans="2:20" s="284" customFormat="1" ht="9.75" customHeight="1" x14ac:dyDescent="0.35">
      <c r="B297" s="295"/>
      <c r="C297" s="295"/>
      <c r="D297" s="295"/>
      <c r="E297" s="317"/>
      <c r="F297" s="327"/>
      <c r="G297" s="317"/>
      <c r="H297" s="328"/>
      <c r="I297" s="318"/>
      <c r="J297" s="327"/>
      <c r="K297" s="318"/>
      <c r="L297" s="327"/>
      <c r="M297" s="327"/>
      <c r="N297" s="327"/>
      <c r="O297" s="327"/>
      <c r="P297" s="328"/>
      <c r="Q297" s="318"/>
      <c r="R297" s="328"/>
      <c r="S297" s="320"/>
    </row>
    <row r="298" spans="2:20" s="284" customFormat="1" ht="27" hidden="1" customHeight="1" x14ac:dyDescent="0.35">
      <c r="B298" s="329" t="s">
        <v>329</v>
      </c>
      <c r="C298" s="295"/>
      <c r="D298" s="295"/>
      <c r="E298" s="317"/>
      <c r="F298" s="327">
        <f>+H298+J298+L298+N298+R298+P298+T298</f>
        <v>0</v>
      </c>
      <c r="G298" s="317"/>
      <c r="H298" s="313"/>
      <c r="I298" s="318"/>
      <c r="J298" s="327"/>
      <c r="K298" s="318"/>
      <c r="L298" s="327"/>
      <c r="M298" s="327"/>
      <c r="N298" s="327"/>
      <c r="O298" s="327"/>
      <c r="P298" s="328"/>
      <c r="Q298" s="318"/>
      <c r="R298" s="328"/>
      <c r="S298" s="320"/>
    </row>
    <row r="299" spans="2:20" s="284" customFormat="1" ht="9.75" hidden="1" customHeight="1" x14ac:dyDescent="0.35">
      <c r="B299" s="295"/>
      <c r="C299" s="295"/>
      <c r="D299" s="295"/>
      <c r="E299" s="317"/>
      <c r="F299" s="327"/>
      <c r="G299" s="317"/>
      <c r="H299" s="327"/>
      <c r="I299" s="318"/>
      <c r="J299" s="327"/>
      <c r="K299" s="318"/>
      <c r="L299" s="327"/>
      <c r="M299" s="327"/>
      <c r="N299" s="327"/>
      <c r="O299" s="327"/>
      <c r="P299" s="327"/>
      <c r="Q299" s="318"/>
      <c r="R299" s="327"/>
      <c r="S299" s="320"/>
    </row>
    <row r="300" spans="2:20" s="284" customFormat="1" ht="25.5" x14ac:dyDescent="0.35">
      <c r="B300" s="329" t="s">
        <v>197</v>
      </c>
      <c r="C300" s="295"/>
      <c r="D300" s="295"/>
      <c r="E300" s="317"/>
      <c r="F300" s="313"/>
      <c r="G300" s="317"/>
      <c r="H300" s="313"/>
      <c r="I300" s="318"/>
      <c r="J300" s="313"/>
      <c r="K300" s="318"/>
      <c r="L300" s="313"/>
      <c r="M300" s="313"/>
      <c r="N300" s="313"/>
      <c r="O300" s="313"/>
      <c r="P300" s="313"/>
      <c r="Q300" s="318"/>
      <c r="R300" s="313"/>
      <c r="S300" s="320"/>
    </row>
    <row r="301" spans="2:20" s="284" customFormat="1" ht="25.5" x14ac:dyDescent="0.35">
      <c r="B301" s="323" t="s">
        <v>197</v>
      </c>
      <c r="C301" s="295"/>
      <c r="D301" s="295"/>
      <c r="E301" s="317"/>
      <c r="F301" s="313">
        <f>+H301+J301+L301+N301+R301+P301+T301</f>
        <v>3347146</v>
      </c>
      <c r="G301" s="317"/>
      <c r="H301" s="313"/>
      <c r="I301" s="318"/>
      <c r="J301" s="327"/>
      <c r="K301" s="318"/>
      <c r="L301" s="327"/>
      <c r="M301" s="327"/>
      <c r="N301" s="313"/>
      <c r="O301" s="327"/>
      <c r="P301" s="327"/>
      <c r="Q301" s="318"/>
      <c r="R301" s="313">
        <v>3347146</v>
      </c>
      <c r="S301" s="320"/>
    </row>
    <row r="302" spans="2:20" s="284" customFormat="1" ht="25.5" hidden="1" x14ac:dyDescent="0.35">
      <c r="B302" s="310" t="s">
        <v>420</v>
      </c>
      <c r="C302" s="295"/>
      <c r="D302" s="295"/>
      <c r="E302" s="317"/>
      <c r="F302" s="318"/>
      <c r="G302" s="317"/>
      <c r="H302" s="318"/>
      <c r="I302" s="318"/>
      <c r="J302" s="318"/>
      <c r="K302" s="318"/>
      <c r="L302" s="318"/>
      <c r="M302" s="318"/>
      <c r="N302" s="318"/>
      <c r="O302" s="318"/>
      <c r="P302" s="318"/>
      <c r="Q302" s="318"/>
      <c r="R302" s="318"/>
      <c r="S302" s="320"/>
    </row>
    <row r="303" spans="2:20" s="284" customFormat="1" ht="25.5" hidden="1" x14ac:dyDescent="0.35">
      <c r="B303" s="311" t="s">
        <v>421</v>
      </c>
      <c r="C303" s="295"/>
      <c r="D303" s="295"/>
      <c r="E303" s="317"/>
      <c r="F303" s="354">
        <f>+H303+J303+L303+N303+R303+P303+T303</f>
        <v>0</v>
      </c>
      <c r="G303" s="317"/>
      <c r="H303" s="354"/>
      <c r="I303" s="318"/>
      <c r="J303" s="354"/>
      <c r="K303" s="318"/>
      <c r="L303" s="354"/>
      <c r="M303" s="313"/>
      <c r="N303" s="354"/>
      <c r="O303" s="313"/>
      <c r="P303" s="354"/>
      <c r="Q303" s="318"/>
      <c r="R303" s="354"/>
      <c r="S303" s="320"/>
      <c r="T303" s="377"/>
    </row>
    <row r="304" spans="2:20" s="284" customFormat="1" ht="25.5" hidden="1" x14ac:dyDescent="0.35">
      <c r="B304" s="295"/>
      <c r="C304" s="295"/>
      <c r="D304" s="295"/>
      <c r="E304" s="317"/>
      <c r="F304" s="327">
        <f>SUM(F303)</f>
        <v>0</v>
      </c>
      <c r="G304" s="317"/>
      <c r="H304" s="327"/>
      <c r="I304" s="318"/>
      <c r="J304" s="328"/>
      <c r="K304" s="318"/>
      <c r="L304" s="328"/>
      <c r="M304" s="327"/>
      <c r="N304" s="328"/>
      <c r="O304" s="327"/>
      <c r="P304" s="328"/>
      <c r="Q304" s="318"/>
      <c r="R304" s="328"/>
      <c r="S304" s="320"/>
      <c r="T304" s="328">
        <f>SUM(T303)</f>
        <v>0</v>
      </c>
    </row>
    <row r="305" spans="2:20" s="284" customFormat="1" ht="13.9" customHeight="1" x14ac:dyDescent="0.35">
      <c r="B305" s="295"/>
      <c r="C305" s="295"/>
      <c r="D305" s="295"/>
      <c r="E305" s="317"/>
      <c r="F305" s="327"/>
      <c r="G305" s="317"/>
      <c r="H305" s="327"/>
      <c r="I305" s="318"/>
      <c r="J305" s="327"/>
      <c r="K305" s="318"/>
      <c r="L305" s="327"/>
      <c r="M305" s="327"/>
      <c r="N305" s="327"/>
      <c r="O305" s="327"/>
      <c r="P305" s="327"/>
      <c r="Q305" s="318"/>
      <c r="R305" s="327"/>
      <c r="S305" s="320"/>
    </row>
    <row r="306" spans="2:20" s="284" customFormat="1" ht="25.5" x14ac:dyDescent="0.35">
      <c r="B306" s="310" t="s">
        <v>338</v>
      </c>
      <c r="C306" s="295"/>
      <c r="D306" s="295"/>
      <c r="E306" s="317"/>
      <c r="F306" s="318"/>
      <c r="G306" s="317"/>
      <c r="H306" s="318"/>
      <c r="I306" s="318"/>
      <c r="J306" s="318"/>
      <c r="K306" s="318"/>
      <c r="L306" s="318"/>
      <c r="M306" s="318"/>
      <c r="N306" s="318"/>
      <c r="O306" s="318"/>
      <c r="P306" s="318"/>
      <c r="Q306" s="318"/>
      <c r="R306" s="318"/>
      <c r="S306" s="320"/>
    </row>
    <row r="307" spans="2:20" s="284" customFormat="1" ht="25.5" x14ac:dyDescent="0.35">
      <c r="B307" s="323" t="s">
        <v>385</v>
      </c>
      <c r="C307" s="295"/>
      <c r="D307" s="295"/>
      <c r="E307" s="317"/>
      <c r="F307" s="313">
        <f>+H307+J307+L307+N307+R307+P307+T307</f>
        <v>540716</v>
      </c>
      <c r="G307" s="317"/>
      <c r="H307" s="313">
        <f>540716</f>
        <v>540716</v>
      </c>
      <c r="I307" s="318"/>
      <c r="J307" s="313"/>
      <c r="K307" s="318"/>
      <c r="L307" s="313"/>
      <c r="M307" s="313"/>
      <c r="N307" s="313"/>
      <c r="O307" s="313"/>
      <c r="P307" s="313"/>
      <c r="Q307" s="318"/>
      <c r="R307" s="313"/>
      <c r="S307" s="320"/>
    </row>
    <row r="308" spans="2:20" s="284" customFormat="1" ht="25.5" x14ac:dyDescent="0.35">
      <c r="B308" s="311" t="s">
        <v>422</v>
      </c>
      <c r="C308" s="295"/>
      <c r="D308" s="295"/>
      <c r="E308" s="317"/>
      <c r="F308" s="354">
        <f t="shared" ref="F308" si="12">+H308+J308+L308+N308+R308+P308+T308</f>
        <v>717435</v>
      </c>
      <c r="G308" s="317"/>
      <c r="H308" s="325">
        <v>214800</v>
      </c>
      <c r="I308" s="318"/>
      <c r="J308" s="325"/>
      <c r="K308" s="318"/>
      <c r="L308" s="325">
        <f>281903</f>
        <v>281903</v>
      </c>
      <c r="M308" s="318"/>
      <c r="N308" s="325"/>
      <c r="O308" s="318"/>
      <c r="P308" s="325"/>
      <c r="Q308" s="318"/>
      <c r="R308" s="325">
        <v>220732</v>
      </c>
      <c r="S308" s="320"/>
      <c r="T308" s="325"/>
    </row>
    <row r="309" spans="2:20" s="284" customFormat="1" x14ac:dyDescent="0.4">
      <c r="B309" s="323"/>
      <c r="C309" s="295"/>
      <c r="D309" s="295"/>
      <c r="E309" s="317"/>
      <c r="F309" s="327">
        <f>SUM(F307:F308)</f>
        <v>1258151</v>
      </c>
      <c r="G309" s="341"/>
      <c r="H309" s="327">
        <f>SUM(H307:H308)</f>
        <v>755516</v>
      </c>
      <c r="I309" s="342"/>
      <c r="J309" s="328">
        <f>SUM(J307:J308)</f>
        <v>0</v>
      </c>
      <c r="K309" s="342"/>
      <c r="L309" s="378">
        <f>SUM(L307:L308)</f>
        <v>281903</v>
      </c>
      <c r="M309" s="344"/>
      <c r="N309" s="379">
        <f>SUM(N307:N308)</f>
        <v>0</v>
      </c>
      <c r="O309" s="380"/>
      <c r="P309" s="328">
        <f>SUM(P307:P308)</f>
        <v>0</v>
      </c>
      <c r="Q309" s="381"/>
      <c r="R309" s="327">
        <f>SUM(R307:R308)</f>
        <v>220732</v>
      </c>
      <c r="S309" s="382"/>
      <c r="T309" s="328">
        <f>SUM(T307:T308)</f>
        <v>0</v>
      </c>
    </row>
    <row r="310" spans="2:20" s="284" customFormat="1" ht="3" customHeight="1" x14ac:dyDescent="0.35">
      <c r="B310" s="310"/>
      <c r="C310" s="295"/>
      <c r="D310" s="295"/>
      <c r="E310" s="317"/>
      <c r="F310" s="313"/>
      <c r="G310" s="317"/>
      <c r="H310" s="318"/>
      <c r="I310" s="318"/>
      <c r="J310" s="318"/>
      <c r="K310" s="318"/>
      <c r="L310" s="318"/>
      <c r="M310" s="318"/>
      <c r="N310" s="318"/>
      <c r="O310" s="318"/>
      <c r="P310" s="318"/>
      <c r="Q310" s="318"/>
      <c r="R310" s="318"/>
      <c r="S310" s="320"/>
    </row>
    <row r="311" spans="2:20" s="284" customFormat="1" ht="25.5" hidden="1" x14ac:dyDescent="0.35">
      <c r="B311" s="340" t="s">
        <v>381</v>
      </c>
      <c r="C311" s="295"/>
      <c r="D311" s="295"/>
      <c r="E311" s="317"/>
      <c r="F311" s="313"/>
      <c r="G311" s="317"/>
      <c r="H311" s="318"/>
      <c r="I311" s="318"/>
      <c r="J311" s="318"/>
      <c r="K311" s="318"/>
      <c r="L311" s="318"/>
      <c r="M311" s="318"/>
      <c r="N311" s="318"/>
      <c r="O311" s="318"/>
      <c r="P311" s="318"/>
      <c r="Q311" s="318"/>
      <c r="R311" s="318"/>
      <c r="S311" s="320"/>
    </row>
    <row r="312" spans="2:20" s="284" customFormat="1" ht="25.5" hidden="1" x14ac:dyDescent="0.35">
      <c r="B312" s="323" t="s">
        <v>382</v>
      </c>
      <c r="C312" s="295"/>
      <c r="D312" s="295"/>
      <c r="E312" s="317"/>
      <c r="F312" s="313">
        <f>+H312+J312+L312+N312+R312+P312+T312</f>
        <v>0</v>
      </c>
      <c r="G312" s="317"/>
      <c r="H312" s="313"/>
      <c r="I312" s="318"/>
      <c r="J312" s="313"/>
      <c r="K312" s="318"/>
      <c r="L312" s="313"/>
      <c r="M312" s="313"/>
      <c r="N312" s="313"/>
      <c r="O312" s="313"/>
      <c r="P312" s="313"/>
      <c r="Q312" s="318"/>
      <c r="R312" s="313"/>
      <c r="S312" s="320"/>
    </row>
    <row r="313" spans="2:20" s="284" customFormat="1" ht="25.5" hidden="1" x14ac:dyDescent="0.35">
      <c r="B313" s="323" t="s">
        <v>383</v>
      </c>
      <c r="C313" s="295"/>
      <c r="D313" s="295"/>
      <c r="E313" s="317"/>
      <c r="F313" s="354">
        <f>+H313+J313+L313+N313+R313+P313+T313</f>
        <v>0</v>
      </c>
      <c r="G313" s="317"/>
      <c r="H313" s="325"/>
      <c r="I313" s="318"/>
      <c r="J313" s="325"/>
      <c r="K313" s="318"/>
      <c r="L313" s="325"/>
      <c r="N313" s="325"/>
      <c r="P313" s="325"/>
      <c r="Q313" s="318"/>
      <c r="R313" s="325"/>
      <c r="S313" s="320"/>
      <c r="T313" s="377"/>
    </row>
    <row r="314" spans="2:20" s="284" customFormat="1" ht="25.5" hidden="1" x14ac:dyDescent="0.35">
      <c r="B314" s="323"/>
      <c r="C314" s="295"/>
      <c r="D314" s="295"/>
      <c r="E314" s="317"/>
      <c r="F314" s="327">
        <f>SUM(F311:F313)</f>
        <v>0</v>
      </c>
      <c r="G314" s="317"/>
      <c r="H314" s="327">
        <f>SUM(H311:H313)</f>
        <v>0</v>
      </c>
      <c r="I314" s="318"/>
      <c r="J314" s="327">
        <f>SUM(J311:J313)</f>
        <v>0</v>
      </c>
      <c r="K314" s="318"/>
      <c r="L314" s="327">
        <f>SUM(L311:L313)</f>
        <v>0</v>
      </c>
      <c r="N314" s="327">
        <f>SUM(N311:N313)</f>
        <v>0</v>
      </c>
      <c r="P314" s="327">
        <f>SUM(P311:P313)</f>
        <v>0</v>
      </c>
      <c r="Q314" s="318"/>
      <c r="R314" s="327">
        <f>SUM(R311:R313)</f>
        <v>0</v>
      </c>
      <c r="S314" s="320"/>
      <c r="T314" s="327">
        <f>SUM(T311:T313)</f>
        <v>0</v>
      </c>
    </row>
    <row r="315" spans="2:20" s="284" customFormat="1" ht="5.25" customHeight="1" x14ac:dyDescent="0.35">
      <c r="B315" s="311"/>
      <c r="C315" s="295"/>
      <c r="D315" s="295"/>
      <c r="E315" s="317"/>
      <c r="F315" s="354"/>
      <c r="G315" s="317"/>
      <c r="H315" s="354"/>
      <c r="I315" s="318"/>
      <c r="J315" s="354"/>
      <c r="K315" s="318"/>
      <c r="L315" s="354"/>
      <c r="N315" s="354"/>
      <c r="P315" s="354"/>
      <c r="Q315" s="318"/>
      <c r="R315" s="354"/>
      <c r="S315" s="320"/>
      <c r="T315" s="354"/>
    </row>
    <row r="316" spans="2:20" s="284" customFormat="1" ht="25.5" x14ac:dyDescent="0.35">
      <c r="B316" s="366" t="s">
        <v>423</v>
      </c>
      <c r="C316" s="295"/>
      <c r="D316" s="295"/>
      <c r="E316" s="317"/>
      <c r="F316" s="327">
        <f>F296+F309+F314+F301+F304+F298</f>
        <v>61663439</v>
      </c>
      <c r="G316" s="317"/>
      <c r="H316" s="327">
        <f>H296+H309+H314+H301+H304+H298</f>
        <v>5240876</v>
      </c>
      <c r="I316" s="318"/>
      <c r="J316" s="327">
        <f>J296+J309+J314+J301+J304+J298</f>
        <v>20853011</v>
      </c>
      <c r="K316" s="318"/>
      <c r="L316" s="327">
        <f>L296+L309+L314+L301+L304+L298</f>
        <v>24019844</v>
      </c>
      <c r="M316" s="327"/>
      <c r="N316" s="327">
        <f>N296+N309+N314+N301+N304+N298</f>
        <v>7981242</v>
      </c>
      <c r="O316" s="327"/>
      <c r="P316" s="328">
        <f>P296+P309+P314+P301+P304+P298</f>
        <v>0</v>
      </c>
      <c r="Q316" s="318"/>
      <c r="R316" s="327">
        <f>R296+R309+R314+R301+R304+R298</f>
        <v>3568466</v>
      </c>
      <c r="S316" s="320"/>
      <c r="T316" s="328">
        <f>T296+T309+T314+T301+T304+T298</f>
        <v>0</v>
      </c>
    </row>
    <row r="317" spans="2:20" ht="13.9" customHeight="1" x14ac:dyDescent="0.4">
      <c r="B317" s="293"/>
      <c r="C317" s="293"/>
      <c r="D317" s="293"/>
      <c r="E317" s="293"/>
      <c r="F317" s="293"/>
      <c r="G317" s="293"/>
      <c r="H317" s="293"/>
      <c r="I317" s="293"/>
      <c r="J317" s="293"/>
      <c r="K317" s="293"/>
      <c r="L317" s="293"/>
      <c r="M317" s="293"/>
      <c r="N317" s="293"/>
      <c r="O317" s="293"/>
      <c r="P317" s="293"/>
      <c r="Q317" s="293"/>
      <c r="R317" s="293"/>
      <c r="S317" s="364"/>
    </row>
    <row r="318" spans="2:20" x14ac:dyDescent="0.4">
      <c r="B318" s="383" t="s">
        <v>424</v>
      </c>
      <c r="C318" s="293"/>
      <c r="D318" s="293"/>
      <c r="E318" s="293"/>
      <c r="F318" s="293"/>
      <c r="G318" s="293"/>
      <c r="H318" s="293"/>
      <c r="I318" s="293"/>
      <c r="J318" s="293"/>
      <c r="K318" s="293"/>
      <c r="L318" s="293"/>
      <c r="M318" s="293"/>
      <c r="N318" s="293"/>
      <c r="O318" s="293"/>
      <c r="P318" s="293"/>
      <c r="Q318" s="293"/>
      <c r="R318" s="293"/>
      <c r="S318" s="364"/>
    </row>
    <row r="319" spans="2:20" s="284" customFormat="1" ht="12" customHeight="1" x14ac:dyDescent="0.35">
      <c r="B319" s="295"/>
      <c r="C319" s="295"/>
      <c r="D319" s="295"/>
      <c r="E319" s="317"/>
      <c r="F319" s="318"/>
      <c r="G319" s="317"/>
      <c r="H319" s="318"/>
      <c r="I319" s="318"/>
      <c r="J319" s="318"/>
      <c r="K319" s="318"/>
      <c r="L319" s="318"/>
      <c r="M319" s="318"/>
      <c r="N319" s="318"/>
      <c r="O319" s="318"/>
      <c r="P319" s="318"/>
      <c r="Q319" s="318"/>
      <c r="R319" s="318"/>
      <c r="S319" s="320"/>
    </row>
    <row r="320" spans="2:20" s="284" customFormat="1" ht="25.5" x14ac:dyDescent="0.35">
      <c r="B320" s="329" t="s">
        <v>425</v>
      </c>
      <c r="C320" s="295"/>
      <c r="D320" s="295"/>
      <c r="E320" s="317"/>
      <c r="F320" s="313">
        <f>+H320+J320+L320+N320+R320+P320+T320</f>
        <v>16202624</v>
      </c>
      <c r="G320" s="317"/>
      <c r="H320" s="313">
        <v>591238</v>
      </c>
      <c r="I320" s="318"/>
      <c r="J320" s="313">
        <v>13692356</v>
      </c>
      <c r="K320" s="318"/>
      <c r="L320" s="313"/>
      <c r="M320" s="313"/>
      <c r="N320" s="313"/>
      <c r="O320" s="313"/>
      <c r="P320" s="313"/>
      <c r="Q320" s="318"/>
      <c r="R320" s="313">
        <v>1919030</v>
      </c>
      <c r="S320" s="320"/>
    </row>
    <row r="321" spans="1:255" s="284" customFormat="1" ht="25.5" x14ac:dyDescent="0.35">
      <c r="B321" s="384" t="s">
        <v>426</v>
      </c>
      <c r="C321" s="295"/>
      <c r="D321" s="295"/>
      <c r="E321" s="317"/>
      <c r="F321" s="318"/>
      <c r="G321" s="317"/>
      <c r="H321" s="318"/>
      <c r="I321" s="318"/>
      <c r="J321" s="318"/>
      <c r="K321" s="318"/>
      <c r="L321" s="318"/>
      <c r="M321" s="318"/>
      <c r="N321" s="318"/>
      <c r="O321" s="318"/>
      <c r="P321" s="318"/>
      <c r="Q321" s="318"/>
      <c r="R321" s="318"/>
      <c r="S321" s="320"/>
    </row>
    <row r="322" spans="1:255" s="284" customFormat="1" ht="25.5" x14ac:dyDescent="0.35">
      <c r="B322" s="323" t="s">
        <v>384</v>
      </c>
      <c r="C322" s="295"/>
      <c r="D322" s="295"/>
      <c r="E322" s="317"/>
      <c r="F322" s="313">
        <f>+H322+J322+L322+N322+R322+P322+T322</f>
        <v>2</v>
      </c>
      <c r="G322" s="317"/>
      <c r="H322" s="313"/>
      <c r="I322" s="318"/>
      <c r="J322" s="313">
        <v>2</v>
      </c>
      <c r="K322" s="318"/>
      <c r="L322" s="313"/>
      <c r="M322" s="313"/>
      <c r="N322" s="313"/>
      <c r="O322" s="313"/>
      <c r="P322" s="313"/>
      <c r="Q322" s="318"/>
      <c r="R322" s="313"/>
      <c r="S322" s="320"/>
    </row>
    <row r="323" spans="1:255" s="284" customFormat="1" ht="9.75" customHeight="1" x14ac:dyDescent="0.35">
      <c r="B323" s="295"/>
      <c r="C323" s="295"/>
      <c r="D323" s="295"/>
      <c r="E323" s="317"/>
      <c r="F323" s="318"/>
      <c r="G323" s="317"/>
      <c r="H323" s="318"/>
      <c r="I323" s="318"/>
      <c r="J323" s="318"/>
      <c r="K323" s="318"/>
      <c r="L323" s="318"/>
      <c r="M323" s="318"/>
      <c r="N323" s="318"/>
      <c r="O323" s="318"/>
      <c r="P323" s="318"/>
      <c r="Q323" s="318"/>
      <c r="R323" s="318"/>
      <c r="S323" s="320"/>
    </row>
    <row r="324" spans="1:255" s="284" customFormat="1" ht="22.5" customHeight="1" x14ac:dyDescent="0.35">
      <c r="B324" s="384" t="s">
        <v>427</v>
      </c>
      <c r="C324" s="295"/>
      <c r="D324" s="295"/>
      <c r="E324" s="317"/>
      <c r="F324" s="313"/>
      <c r="G324" s="317"/>
      <c r="H324" s="313"/>
      <c r="I324" s="318"/>
      <c r="J324" s="313"/>
      <c r="K324" s="318"/>
      <c r="L324" s="313"/>
      <c r="M324" s="313"/>
      <c r="N324" s="313"/>
      <c r="O324" s="313"/>
      <c r="P324" s="313"/>
      <c r="Q324" s="318"/>
      <c r="R324" s="313"/>
      <c r="S324" s="320"/>
    </row>
    <row r="325" spans="1:255" s="284" customFormat="1" ht="20.45" hidden="1" customHeight="1" x14ac:dyDescent="0.35">
      <c r="A325" s="345"/>
      <c r="B325" s="323" t="s">
        <v>428</v>
      </c>
      <c r="C325" s="345"/>
      <c r="D325" s="345"/>
      <c r="E325" s="345"/>
      <c r="F325" s="313">
        <f t="shared" ref="F325:F327" si="13">+H325+J325+L325+N325+R325+P325+T325</f>
        <v>0</v>
      </c>
      <c r="G325" s="345"/>
      <c r="H325" s="313"/>
      <c r="I325" s="318"/>
      <c r="J325" s="313"/>
      <c r="K325" s="318"/>
      <c r="L325" s="313"/>
      <c r="M325" s="313"/>
      <c r="N325" s="313"/>
      <c r="O325" s="313"/>
      <c r="P325" s="313"/>
      <c r="Q325" s="318"/>
      <c r="R325" s="313"/>
      <c r="S325" s="345"/>
      <c r="T325" s="313"/>
      <c r="U325" s="345"/>
      <c r="V325" s="345"/>
      <c r="W325" s="345"/>
      <c r="X325" s="345"/>
      <c r="Y325" s="345"/>
      <c r="Z325" s="345"/>
      <c r="AA325" s="345"/>
      <c r="AB325" s="345"/>
      <c r="AC325" s="345"/>
      <c r="AD325" s="345"/>
      <c r="AE325" s="345"/>
      <c r="AF325" s="345"/>
      <c r="AG325" s="345"/>
      <c r="AH325" s="345"/>
      <c r="AI325" s="345"/>
      <c r="AJ325" s="345"/>
      <c r="AK325" s="345"/>
      <c r="AL325" s="345"/>
      <c r="AM325" s="345"/>
      <c r="AN325" s="345"/>
      <c r="AO325" s="345"/>
      <c r="AP325" s="345"/>
      <c r="AQ325" s="345"/>
      <c r="AR325" s="345"/>
      <c r="AS325" s="345"/>
      <c r="AT325" s="345"/>
      <c r="AU325" s="345"/>
      <c r="AV325" s="345"/>
      <c r="AW325" s="345"/>
      <c r="AX325" s="345"/>
      <c r="AY325" s="345"/>
      <c r="AZ325" s="345"/>
      <c r="BA325" s="345"/>
      <c r="BB325" s="345"/>
      <c r="BC325" s="345"/>
      <c r="BD325" s="345"/>
      <c r="BE325" s="345"/>
      <c r="BF325" s="345"/>
      <c r="BG325" s="345"/>
      <c r="BH325" s="345"/>
      <c r="BI325" s="345"/>
      <c r="BJ325" s="345"/>
      <c r="BK325" s="345"/>
      <c r="BL325" s="345"/>
      <c r="BM325" s="345"/>
      <c r="BN325" s="345"/>
      <c r="BO325" s="345"/>
      <c r="BP325" s="345"/>
      <c r="BQ325" s="345"/>
      <c r="BR325" s="345"/>
      <c r="BS325" s="345"/>
      <c r="BT325" s="345"/>
      <c r="BU325" s="345"/>
      <c r="BV325" s="345"/>
      <c r="BW325" s="345"/>
      <c r="BX325" s="345"/>
      <c r="BY325" s="345"/>
      <c r="BZ325" s="345"/>
      <c r="CA325" s="345"/>
      <c r="CB325" s="345"/>
      <c r="CC325" s="345"/>
      <c r="CD325" s="345"/>
      <c r="CE325" s="345"/>
      <c r="CF325" s="345"/>
      <c r="CG325" s="345"/>
      <c r="CH325" s="345"/>
      <c r="CI325" s="345"/>
      <c r="CJ325" s="345"/>
      <c r="CK325" s="345"/>
      <c r="CL325" s="345"/>
      <c r="CM325" s="345"/>
      <c r="CN325" s="345"/>
      <c r="CO325" s="345"/>
      <c r="CP325" s="345"/>
      <c r="CQ325" s="345"/>
      <c r="CR325" s="345"/>
      <c r="CS325" s="345"/>
      <c r="CT325" s="345"/>
      <c r="CU325" s="345"/>
      <c r="CV325" s="345"/>
      <c r="CW325" s="345"/>
      <c r="CX325" s="345"/>
      <c r="CY325" s="345"/>
      <c r="CZ325" s="345"/>
      <c r="DA325" s="345"/>
      <c r="DB325" s="345"/>
      <c r="DC325" s="345"/>
      <c r="DD325" s="345"/>
      <c r="DE325" s="345"/>
      <c r="DF325" s="345"/>
      <c r="DG325" s="345"/>
      <c r="DH325" s="345"/>
      <c r="DI325" s="345"/>
      <c r="DJ325" s="345"/>
      <c r="DK325" s="345"/>
      <c r="DL325" s="345"/>
      <c r="DM325" s="345"/>
      <c r="DN325" s="345"/>
      <c r="DO325" s="345"/>
      <c r="DP325" s="345"/>
      <c r="DQ325" s="345"/>
      <c r="DR325" s="345"/>
      <c r="DS325" s="345"/>
      <c r="DT325" s="345"/>
      <c r="DU325" s="345"/>
      <c r="DV325" s="345"/>
      <c r="DW325" s="345"/>
      <c r="DX325" s="345"/>
      <c r="DY325" s="345"/>
      <c r="DZ325" s="345"/>
      <c r="EA325" s="345"/>
      <c r="EB325" s="345"/>
      <c r="EC325" s="345"/>
      <c r="ED325" s="345"/>
      <c r="EE325" s="345"/>
      <c r="EF325" s="345"/>
      <c r="EG325" s="345"/>
      <c r="EH325" s="345"/>
      <c r="EI325" s="345"/>
      <c r="EJ325" s="345"/>
      <c r="EK325" s="345"/>
      <c r="EL325" s="345"/>
      <c r="EM325" s="345"/>
      <c r="EN325" s="345"/>
      <c r="EO325" s="345"/>
      <c r="EP325" s="345"/>
      <c r="EQ325" s="345"/>
      <c r="ER325" s="345"/>
      <c r="ES325" s="345"/>
      <c r="ET325" s="345"/>
      <c r="EU325" s="345"/>
      <c r="EV325" s="345"/>
      <c r="EW325" s="345"/>
      <c r="EX325" s="345"/>
      <c r="EY325" s="345"/>
      <c r="EZ325" s="345"/>
      <c r="FA325" s="345"/>
      <c r="FB325" s="345"/>
      <c r="FC325" s="345"/>
      <c r="FD325" s="345"/>
      <c r="FE325" s="345"/>
      <c r="FF325" s="345"/>
      <c r="FG325" s="345"/>
      <c r="FH325" s="345"/>
      <c r="FI325" s="345"/>
      <c r="FJ325" s="345"/>
      <c r="FK325" s="345"/>
      <c r="FL325" s="345"/>
      <c r="FM325" s="345"/>
      <c r="FN325" s="345"/>
      <c r="FO325" s="345"/>
      <c r="FP325" s="345"/>
      <c r="FQ325" s="345"/>
      <c r="FR325" s="345"/>
      <c r="FS325" s="345"/>
      <c r="FT325" s="345"/>
      <c r="FU325" s="345"/>
      <c r="FV325" s="345"/>
      <c r="FW325" s="345"/>
      <c r="FX325" s="345"/>
      <c r="FY325" s="345"/>
      <c r="FZ325" s="345"/>
      <c r="GA325" s="345"/>
      <c r="GB325" s="345"/>
      <c r="GC325" s="345"/>
      <c r="GD325" s="345"/>
      <c r="GE325" s="345"/>
      <c r="GF325" s="345"/>
      <c r="GG325" s="345"/>
      <c r="GH325" s="345"/>
      <c r="GI325" s="345"/>
      <c r="GJ325" s="345"/>
      <c r="GK325" s="345"/>
      <c r="GL325" s="345"/>
      <c r="GM325" s="345"/>
      <c r="GN325" s="345"/>
      <c r="GO325" s="345"/>
      <c r="GP325" s="345"/>
      <c r="GQ325" s="345"/>
      <c r="GR325" s="345"/>
      <c r="GS325" s="345"/>
      <c r="GT325" s="345"/>
      <c r="GU325" s="345"/>
      <c r="GV325" s="345"/>
      <c r="GW325" s="345"/>
      <c r="GX325" s="345"/>
      <c r="GY325" s="345"/>
      <c r="GZ325" s="345"/>
      <c r="HA325" s="345"/>
      <c r="HB325" s="345"/>
      <c r="HC325" s="345"/>
      <c r="HD325" s="345"/>
      <c r="HE325" s="345"/>
      <c r="HF325" s="345"/>
      <c r="HG325" s="345"/>
      <c r="HH325" s="345"/>
      <c r="HI325" s="345"/>
      <c r="HJ325" s="345"/>
      <c r="HK325" s="345"/>
      <c r="HL325" s="345"/>
      <c r="HM325" s="345"/>
      <c r="HN325" s="345"/>
      <c r="HO325" s="345"/>
      <c r="HP325" s="345"/>
      <c r="HQ325" s="345"/>
      <c r="HR325" s="345"/>
      <c r="HS325" s="345"/>
      <c r="HT325" s="345"/>
      <c r="HU325" s="345"/>
      <c r="HV325" s="345"/>
      <c r="HW325" s="345"/>
      <c r="HX325" s="345"/>
      <c r="HY325" s="345"/>
      <c r="HZ325" s="345"/>
      <c r="IA325" s="345"/>
      <c r="IB325" s="345"/>
      <c r="IC325" s="345"/>
      <c r="ID325" s="345"/>
      <c r="IE325" s="345"/>
      <c r="IF325" s="345"/>
      <c r="IG325" s="345"/>
      <c r="IH325" s="345"/>
      <c r="II325" s="345"/>
      <c r="IJ325" s="345"/>
      <c r="IK325" s="345"/>
      <c r="IL325" s="345"/>
      <c r="IM325" s="345"/>
      <c r="IN325" s="345"/>
      <c r="IO325" s="345"/>
      <c r="IP325" s="345"/>
      <c r="IQ325" s="345"/>
      <c r="IR325" s="345"/>
      <c r="IS325" s="345"/>
      <c r="IT325" s="345"/>
      <c r="IU325" s="345"/>
    </row>
    <row r="326" spans="1:255" s="284" customFormat="1" ht="20.45" customHeight="1" x14ac:dyDescent="0.35">
      <c r="A326" s="345"/>
      <c r="B326" s="311" t="s">
        <v>429</v>
      </c>
      <c r="C326" s="345"/>
      <c r="D326" s="345"/>
      <c r="E326" s="345"/>
      <c r="F326" s="313">
        <f t="shared" si="13"/>
        <v>48189378</v>
      </c>
      <c r="G326" s="345"/>
      <c r="H326" s="313">
        <v>4037598</v>
      </c>
      <c r="I326" s="318"/>
      <c r="J326" s="313">
        <v>39510478</v>
      </c>
      <c r="K326" s="318"/>
      <c r="L326" s="313"/>
      <c r="M326" s="313"/>
      <c r="N326" s="313"/>
      <c r="O326" s="313"/>
      <c r="P326" s="313"/>
      <c r="Q326" s="318"/>
      <c r="R326" s="313">
        <v>4641302</v>
      </c>
      <c r="S326" s="345"/>
      <c r="T326" s="313"/>
      <c r="U326" s="345"/>
      <c r="V326" s="345"/>
      <c r="W326" s="345"/>
      <c r="X326" s="345"/>
      <c r="Y326" s="345"/>
      <c r="Z326" s="345"/>
      <c r="AA326" s="345"/>
      <c r="AB326" s="345"/>
      <c r="AC326" s="345"/>
      <c r="AD326" s="345"/>
      <c r="AE326" s="345"/>
      <c r="AF326" s="345"/>
      <c r="AG326" s="345"/>
      <c r="AH326" s="345"/>
      <c r="AI326" s="345"/>
      <c r="AJ326" s="345"/>
      <c r="AK326" s="345"/>
      <c r="AL326" s="345"/>
      <c r="AM326" s="345"/>
      <c r="AN326" s="345"/>
      <c r="AO326" s="345"/>
      <c r="AP326" s="345"/>
      <c r="AQ326" s="345"/>
      <c r="AR326" s="345"/>
      <c r="AS326" s="345"/>
      <c r="AT326" s="345"/>
      <c r="AU326" s="345"/>
      <c r="AV326" s="345"/>
      <c r="AW326" s="345"/>
      <c r="AX326" s="345"/>
      <c r="AY326" s="345"/>
      <c r="AZ326" s="345"/>
      <c r="BA326" s="345"/>
      <c r="BB326" s="345"/>
      <c r="BC326" s="345"/>
      <c r="BD326" s="345"/>
      <c r="BE326" s="345"/>
      <c r="BF326" s="345"/>
      <c r="BG326" s="345"/>
      <c r="BH326" s="345"/>
      <c r="BI326" s="345"/>
      <c r="BJ326" s="345"/>
      <c r="BK326" s="345"/>
      <c r="BL326" s="345"/>
      <c r="BM326" s="345"/>
      <c r="BN326" s="345"/>
      <c r="BO326" s="345"/>
      <c r="BP326" s="345"/>
      <c r="BQ326" s="345"/>
      <c r="BR326" s="345"/>
      <c r="BS326" s="345"/>
      <c r="BT326" s="345"/>
      <c r="BU326" s="345"/>
      <c r="BV326" s="345"/>
      <c r="BW326" s="345"/>
      <c r="BX326" s="345"/>
      <c r="BY326" s="345"/>
      <c r="BZ326" s="345"/>
      <c r="CA326" s="345"/>
      <c r="CB326" s="345"/>
      <c r="CC326" s="345"/>
      <c r="CD326" s="345"/>
      <c r="CE326" s="345"/>
      <c r="CF326" s="345"/>
      <c r="CG326" s="345"/>
      <c r="CH326" s="345"/>
      <c r="CI326" s="345"/>
      <c r="CJ326" s="345"/>
      <c r="CK326" s="345"/>
      <c r="CL326" s="345"/>
      <c r="CM326" s="345"/>
      <c r="CN326" s="345"/>
      <c r="CO326" s="345"/>
      <c r="CP326" s="345"/>
      <c r="CQ326" s="345"/>
      <c r="CR326" s="345"/>
      <c r="CS326" s="345"/>
      <c r="CT326" s="345"/>
      <c r="CU326" s="345"/>
      <c r="CV326" s="345"/>
      <c r="CW326" s="345"/>
      <c r="CX326" s="345"/>
      <c r="CY326" s="345"/>
      <c r="CZ326" s="345"/>
      <c r="DA326" s="345"/>
      <c r="DB326" s="345"/>
      <c r="DC326" s="345"/>
      <c r="DD326" s="345"/>
      <c r="DE326" s="345"/>
      <c r="DF326" s="345"/>
      <c r="DG326" s="345"/>
      <c r="DH326" s="345"/>
      <c r="DI326" s="345"/>
      <c r="DJ326" s="345"/>
      <c r="DK326" s="345"/>
      <c r="DL326" s="345"/>
      <c r="DM326" s="345"/>
      <c r="DN326" s="345"/>
      <c r="DO326" s="345"/>
      <c r="DP326" s="345"/>
      <c r="DQ326" s="345"/>
      <c r="DR326" s="345"/>
      <c r="DS326" s="345"/>
      <c r="DT326" s="345"/>
      <c r="DU326" s="345"/>
      <c r="DV326" s="345"/>
      <c r="DW326" s="345"/>
      <c r="DX326" s="345"/>
      <c r="DY326" s="345"/>
      <c r="DZ326" s="345"/>
      <c r="EA326" s="345"/>
      <c r="EB326" s="345"/>
      <c r="EC326" s="345"/>
      <c r="ED326" s="345"/>
      <c r="EE326" s="345"/>
      <c r="EF326" s="345"/>
      <c r="EG326" s="345"/>
      <c r="EH326" s="345"/>
      <c r="EI326" s="345"/>
      <c r="EJ326" s="345"/>
      <c r="EK326" s="345"/>
      <c r="EL326" s="345"/>
      <c r="EM326" s="345"/>
      <c r="EN326" s="345"/>
      <c r="EO326" s="345"/>
      <c r="EP326" s="345"/>
      <c r="EQ326" s="345"/>
      <c r="ER326" s="345"/>
      <c r="ES326" s="345"/>
      <c r="ET326" s="345"/>
      <c r="EU326" s="345"/>
      <c r="EV326" s="345"/>
      <c r="EW326" s="345"/>
      <c r="EX326" s="345"/>
      <c r="EY326" s="345"/>
      <c r="EZ326" s="345"/>
      <c r="FA326" s="345"/>
      <c r="FB326" s="345"/>
      <c r="FC326" s="345"/>
      <c r="FD326" s="345"/>
      <c r="FE326" s="345"/>
      <c r="FF326" s="345"/>
      <c r="FG326" s="345"/>
      <c r="FH326" s="345"/>
      <c r="FI326" s="345"/>
      <c r="FJ326" s="345"/>
      <c r="FK326" s="345"/>
      <c r="FL326" s="345"/>
      <c r="FM326" s="345"/>
      <c r="FN326" s="345"/>
      <c r="FO326" s="345"/>
      <c r="FP326" s="345"/>
      <c r="FQ326" s="345"/>
      <c r="FR326" s="345"/>
      <c r="FS326" s="345"/>
      <c r="FT326" s="345"/>
      <c r="FU326" s="345"/>
      <c r="FV326" s="345"/>
      <c r="FW326" s="345"/>
      <c r="FX326" s="345"/>
      <c r="FY326" s="345"/>
      <c r="FZ326" s="345"/>
      <c r="GA326" s="345"/>
      <c r="GB326" s="345"/>
      <c r="GC326" s="345"/>
      <c r="GD326" s="345"/>
      <c r="GE326" s="345"/>
      <c r="GF326" s="345"/>
      <c r="GG326" s="345"/>
      <c r="GH326" s="345"/>
      <c r="GI326" s="345"/>
      <c r="GJ326" s="345"/>
      <c r="GK326" s="345"/>
      <c r="GL326" s="345"/>
      <c r="GM326" s="345"/>
      <c r="GN326" s="345"/>
      <c r="GO326" s="345"/>
      <c r="GP326" s="345"/>
      <c r="GQ326" s="345"/>
      <c r="GR326" s="345"/>
      <c r="GS326" s="345"/>
      <c r="GT326" s="345"/>
      <c r="GU326" s="345"/>
      <c r="GV326" s="345"/>
      <c r="GW326" s="345"/>
      <c r="GX326" s="345"/>
      <c r="GY326" s="345"/>
      <c r="GZ326" s="345"/>
      <c r="HA326" s="345"/>
      <c r="HB326" s="345"/>
      <c r="HC326" s="345"/>
      <c r="HD326" s="345"/>
      <c r="HE326" s="345"/>
      <c r="HF326" s="345"/>
      <c r="HG326" s="345"/>
      <c r="HH326" s="345"/>
      <c r="HI326" s="345"/>
      <c r="HJ326" s="345"/>
      <c r="HK326" s="345"/>
      <c r="HL326" s="345"/>
      <c r="HM326" s="345"/>
      <c r="HN326" s="345"/>
      <c r="HO326" s="345"/>
      <c r="HP326" s="345"/>
      <c r="HQ326" s="345"/>
      <c r="HR326" s="345"/>
      <c r="HS326" s="345"/>
      <c r="HT326" s="345"/>
      <c r="HU326" s="345"/>
      <c r="HV326" s="345"/>
      <c r="HW326" s="345"/>
      <c r="HX326" s="345"/>
      <c r="HY326" s="345"/>
      <c r="HZ326" s="345"/>
      <c r="IA326" s="345"/>
      <c r="IB326" s="345"/>
      <c r="IC326" s="345"/>
      <c r="ID326" s="345"/>
      <c r="IE326" s="345"/>
      <c r="IF326" s="345"/>
      <c r="IG326" s="345"/>
      <c r="IH326" s="345"/>
      <c r="II326" s="345"/>
      <c r="IJ326" s="345"/>
      <c r="IK326" s="345"/>
      <c r="IL326" s="345"/>
      <c r="IM326" s="345"/>
      <c r="IN326" s="345"/>
      <c r="IO326" s="345"/>
      <c r="IP326" s="345"/>
      <c r="IQ326" s="345"/>
      <c r="IR326" s="345"/>
      <c r="IS326" s="345"/>
      <c r="IT326" s="345"/>
      <c r="IU326" s="345"/>
    </row>
    <row r="327" spans="1:255" s="284" customFormat="1" ht="20.45" customHeight="1" x14ac:dyDescent="0.35">
      <c r="A327" s="345"/>
      <c r="B327" s="311" t="s">
        <v>430</v>
      </c>
      <c r="C327" s="345"/>
      <c r="D327" s="345"/>
      <c r="E327" s="345"/>
      <c r="F327" s="313">
        <f t="shared" si="13"/>
        <v>112156</v>
      </c>
      <c r="G327" s="345"/>
      <c r="H327" s="313">
        <f>29520+44883</f>
        <v>74403</v>
      </c>
      <c r="I327" s="318"/>
      <c r="J327" s="313">
        <f>8267+23567</f>
        <v>31834</v>
      </c>
      <c r="K327" s="318"/>
      <c r="L327" s="313"/>
      <c r="M327" s="313"/>
      <c r="N327" s="313"/>
      <c r="O327" s="313"/>
      <c r="P327" s="313"/>
      <c r="Q327" s="318"/>
      <c r="R327" s="313">
        <f>1233+4686</f>
        <v>5919</v>
      </c>
      <c r="S327" s="345"/>
      <c r="T327" s="313"/>
      <c r="U327" s="345"/>
      <c r="V327" s="345"/>
      <c r="W327" s="345"/>
      <c r="X327" s="345"/>
      <c r="Y327" s="345"/>
      <c r="Z327" s="345"/>
      <c r="AA327" s="345"/>
      <c r="AB327" s="345"/>
      <c r="AC327" s="345"/>
      <c r="AD327" s="345"/>
      <c r="AE327" s="345"/>
      <c r="AF327" s="345"/>
      <c r="AG327" s="345"/>
      <c r="AH327" s="345"/>
      <c r="AI327" s="345"/>
      <c r="AJ327" s="345"/>
      <c r="AK327" s="345"/>
      <c r="AL327" s="345"/>
      <c r="AM327" s="345"/>
      <c r="AN327" s="345"/>
      <c r="AO327" s="345"/>
      <c r="AP327" s="345"/>
      <c r="AQ327" s="345"/>
      <c r="AR327" s="345"/>
      <c r="AS327" s="345"/>
      <c r="AT327" s="345"/>
      <c r="AU327" s="345"/>
      <c r="AV327" s="345"/>
      <c r="AW327" s="345"/>
      <c r="AX327" s="345"/>
      <c r="AY327" s="345"/>
      <c r="AZ327" s="345"/>
      <c r="BA327" s="345"/>
      <c r="BB327" s="345"/>
      <c r="BC327" s="345"/>
      <c r="BD327" s="345"/>
      <c r="BE327" s="345"/>
      <c r="BF327" s="345"/>
      <c r="BG327" s="345"/>
      <c r="BH327" s="345"/>
      <c r="BI327" s="345"/>
      <c r="BJ327" s="345"/>
      <c r="BK327" s="345"/>
      <c r="BL327" s="345"/>
      <c r="BM327" s="345"/>
      <c r="BN327" s="345"/>
      <c r="BO327" s="345"/>
      <c r="BP327" s="345"/>
      <c r="BQ327" s="345"/>
      <c r="BR327" s="345"/>
      <c r="BS327" s="345"/>
      <c r="BT327" s="345"/>
      <c r="BU327" s="345"/>
      <c r="BV327" s="345"/>
      <c r="BW327" s="345"/>
      <c r="BX327" s="345"/>
      <c r="BY327" s="345"/>
      <c r="BZ327" s="345"/>
      <c r="CA327" s="345"/>
      <c r="CB327" s="345"/>
      <c r="CC327" s="345"/>
      <c r="CD327" s="345"/>
      <c r="CE327" s="345"/>
      <c r="CF327" s="345"/>
      <c r="CG327" s="345"/>
      <c r="CH327" s="345"/>
      <c r="CI327" s="345"/>
      <c r="CJ327" s="345"/>
      <c r="CK327" s="345"/>
      <c r="CL327" s="345"/>
      <c r="CM327" s="345"/>
      <c r="CN327" s="345"/>
      <c r="CO327" s="345"/>
      <c r="CP327" s="345"/>
      <c r="CQ327" s="345"/>
      <c r="CR327" s="345"/>
      <c r="CS327" s="345"/>
      <c r="CT327" s="345"/>
      <c r="CU327" s="345"/>
      <c r="CV327" s="345"/>
      <c r="CW327" s="345"/>
      <c r="CX327" s="345"/>
      <c r="CY327" s="345"/>
      <c r="CZ327" s="345"/>
      <c r="DA327" s="345"/>
      <c r="DB327" s="345"/>
      <c r="DC327" s="345"/>
      <c r="DD327" s="345"/>
      <c r="DE327" s="345"/>
      <c r="DF327" s="345"/>
      <c r="DG327" s="345"/>
      <c r="DH327" s="345"/>
      <c r="DI327" s="345"/>
      <c r="DJ327" s="345"/>
      <c r="DK327" s="345"/>
      <c r="DL327" s="345"/>
      <c r="DM327" s="345"/>
      <c r="DN327" s="345"/>
      <c r="DO327" s="345"/>
      <c r="DP327" s="345"/>
      <c r="DQ327" s="345"/>
      <c r="DR327" s="345"/>
      <c r="DS327" s="345"/>
      <c r="DT327" s="345"/>
      <c r="DU327" s="345"/>
      <c r="DV327" s="345"/>
      <c r="DW327" s="345"/>
      <c r="DX327" s="345"/>
      <c r="DY327" s="345"/>
      <c r="DZ327" s="345"/>
      <c r="EA327" s="345"/>
      <c r="EB327" s="345"/>
      <c r="EC327" s="345"/>
      <c r="ED327" s="345"/>
      <c r="EE327" s="345"/>
      <c r="EF327" s="345"/>
      <c r="EG327" s="345"/>
      <c r="EH327" s="345"/>
      <c r="EI327" s="345"/>
      <c r="EJ327" s="345"/>
      <c r="EK327" s="345"/>
      <c r="EL327" s="345"/>
      <c r="EM327" s="345"/>
      <c r="EN327" s="345"/>
      <c r="EO327" s="345"/>
      <c r="EP327" s="345"/>
      <c r="EQ327" s="345"/>
      <c r="ER327" s="345"/>
      <c r="ES327" s="345"/>
      <c r="ET327" s="345"/>
      <c r="EU327" s="345"/>
      <c r="EV327" s="345"/>
      <c r="EW327" s="345"/>
      <c r="EX327" s="345"/>
      <c r="EY327" s="345"/>
      <c r="EZ327" s="345"/>
      <c r="FA327" s="345"/>
      <c r="FB327" s="345"/>
      <c r="FC327" s="345"/>
      <c r="FD327" s="345"/>
      <c r="FE327" s="345"/>
      <c r="FF327" s="345"/>
      <c r="FG327" s="345"/>
      <c r="FH327" s="345"/>
      <c r="FI327" s="345"/>
      <c r="FJ327" s="345"/>
      <c r="FK327" s="345"/>
      <c r="FL327" s="345"/>
      <c r="FM327" s="345"/>
      <c r="FN327" s="345"/>
      <c r="FO327" s="345"/>
      <c r="FP327" s="345"/>
      <c r="FQ327" s="345"/>
      <c r="FR327" s="345"/>
      <c r="FS327" s="345"/>
      <c r="FT327" s="345"/>
      <c r="FU327" s="345"/>
      <c r="FV327" s="345"/>
      <c r="FW327" s="345"/>
      <c r="FX327" s="345"/>
      <c r="FY327" s="345"/>
      <c r="FZ327" s="345"/>
      <c r="GA327" s="345"/>
      <c r="GB327" s="345"/>
      <c r="GC327" s="345"/>
      <c r="GD327" s="345"/>
      <c r="GE327" s="345"/>
      <c r="GF327" s="345"/>
      <c r="GG327" s="345"/>
      <c r="GH327" s="345"/>
      <c r="GI327" s="345"/>
      <c r="GJ327" s="345"/>
      <c r="GK327" s="345"/>
      <c r="GL327" s="345"/>
      <c r="GM327" s="345"/>
      <c r="GN327" s="345"/>
      <c r="GO327" s="345"/>
      <c r="GP327" s="345"/>
      <c r="GQ327" s="345"/>
      <c r="GR327" s="345"/>
      <c r="GS327" s="345"/>
      <c r="GT327" s="345"/>
      <c r="GU327" s="345"/>
      <c r="GV327" s="345"/>
      <c r="GW327" s="345"/>
      <c r="GX327" s="345"/>
      <c r="GY327" s="345"/>
      <c r="GZ327" s="345"/>
      <c r="HA327" s="345"/>
      <c r="HB327" s="345"/>
      <c r="HC327" s="345"/>
      <c r="HD327" s="345"/>
      <c r="HE327" s="345"/>
      <c r="HF327" s="345"/>
      <c r="HG327" s="345"/>
      <c r="HH327" s="345"/>
      <c r="HI327" s="345"/>
      <c r="HJ327" s="345"/>
      <c r="HK327" s="345"/>
      <c r="HL327" s="345"/>
      <c r="HM327" s="345"/>
      <c r="HN327" s="345"/>
      <c r="HO327" s="345"/>
      <c r="HP327" s="345"/>
      <c r="HQ327" s="345"/>
      <c r="HR327" s="345"/>
      <c r="HS327" s="345"/>
      <c r="HT327" s="345"/>
      <c r="HU327" s="345"/>
      <c r="HV327" s="345"/>
      <c r="HW327" s="345"/>
      <c r="HX327" s="345"/>
      <c r="HY327" s="345"/>
      <c r="HZ327" s="345"/>
      <c r="IA327" s="345"/>
      <c r="IB327" s="345"/>
      <c r="IC327" s="345"/>
      <c r="ID327" s="345"/>
      <c r="IE327" s="345"/>
      <c r="IF327" s="345"/>
      <c r="IG327" s="345"/>
      <c r="IH327" s="345"/>
      <c r="II327" s="345"/>
      <c r="IJ327" s="345"/>
      <c r="IK327" s="345"/>
      <c r="IL327" s="345"/>
      <c r="IM327" s="345"/>
      <c r="IN327" s="345"/>
      <c r="IO327" s="345"/>
      <c r="IP327" s="345"/>
      <c r="IQ327" s="345"/>
      <c r="IR327" s="345"/>
      <c r="IS327" s="345"/>
      <c r="IT327" s="345"/>
      <c r="IU327" s="345"/>
    </row>
    <row r="328" spans="1:255" s="284" customFormat="1" ht="5.25" customHeight="1" x14ac:dyDescent="0.35">
      <c r="B328" s="311"/>
      <c r="D328" s="295"/>
      <c r="E328" s="317"/>
      <c r="F328" s="362"/>
      <c r="G328" s="317"/>
      <c r="H328" s="362"/>
      <c r="I328" s="318"/>
      <c r="J328" s="362"/>
      <c r="K328" s="318"/>
      <c r="L328" s="362"/>
      <c r="M328" s="356"/>
      <c r="N328" s="362"/>
      <c r="O328" s="356"/>
      <c r="P328" s="362"/>
      <c r="Q328" s="318"/>
      <c r="R328" s="362"/>
      <c r="S328" s="320"/>
      <c r="T328" s="362"/>
    </row>
    <row r="329" spans="1:255" s="284" customFormat="1" ht="22.5" customHeight="1" x14ac:dyDescent="0.35">
      <c r="B329" s="311"/>
      <c r="D329" s="295"/>
      <c r="E329" s="317"/>
      <c r="F329" s="327">
        <f>SUM(F325:F327)</f>
        <v>48301534</v>
      </c>
      <c r="G329" s="317"/>
      <c r="H329" s="327">
        <f>SUM(H325:H327)</f>
        <v>4112001</v>
      </c>
      <c r="I329" s="318"/>
      <c r="J329" s="327">
        <f>SUM(J325:J327)</f>
        <v>39542312</v>
      </c>
      <c r="K329" s="318"/>
      <c r="L329" s="328">
        <f>SUM(L325:L327)</f>
        <v>0</v>
      </c>
      <c r="M329" s="328"/>
      <c r="N329" s="328">
        <f>SUM(N325:N327)</f>
        <v>0</v>
      </c>
      <c r="O329" s="328"/>
      <c r="P329" s="328">
        <f>SUM(P325:P327)</f>
        <v>0</v>
      </c>
      <c r="Q329" s="318"/>
      <c r="R329" s="327">
        <f>SUM(R325:R327)</f>
        <v>4647221</v>
      </c>
      <c r="S329" s="320"/>
      <c r="T329" s="328">
        <f>SUM(T325:T327)</f>
        <v>0</v>
      </c>
    </row>
    <row r="330" spans="1:255" s="284" customFormat="1" ht="3" customHeight="1" x14ac:dyDescent="0.35">
      <c r="B330" s="295"/>
      <c r="C330" s="295"/>
      <c r="D330" s="295"/>
      <c r="E330" s="317"/>
      <c r="F330" s="318"/>
      <c r="G330" s="317"/>
      <c r="H330" s="318"/>
      <c r="I330" s="318"/>
      <c r="J330" s="318"/>
      <c r="K330" s="318"/>
      <c r="L330" s="318"/>
      <c r="M330" s="318"/>
      <c r="N330" s="318"/>
      <c r="O330" s="318"/>
      <c r="P330" s="318"/>
      <c r="Q330" s="318"/>
      <c r="R330" s="318"/>
      <c r="S330" s="320"/>
    </row>
    <row r="331" spans="1:255" s="284" customFormat="1" ht="25.5" customHeight="1" x14ac:dyDescent="0.35">
      <c r="B331" s="310" t="s">
        <v>300</v>
      </c>
      <c r="D331" s="295"/>
      <c r="E331" s="317"/>
      <c r="F331" s="313">
        <f t="shared" ref="F331" si="14">+H331+J331+L331+N331+R331+P331+T331</f>
        <v>2425</v>
      </c>
      <c r="G331" s="317"/>
      <c r="H331" s="313"/>
      <c r="I331" s="318"/>
      <c r="J331" s="313">
        <v>2425</v>
      </c>
      <c r="K331" s="318"/>
      <c r="L331" s="313"/>
      <c r="M331" s="313"/>
      <c r="N331" s="313"/>
      <c r="O331" s="313"/>
      <c r="P331" s="313"/>
      <c r="Q331" s="318"/>
      <c r="R331" s="313"/>
      <c r="S331" s="320"/>
      <c r="T331" s="356"/>
    </row>
    <row r="332" spans="1:255" s="284" customFormat="1" ht="2.25" customHeight="1" x14ac:dyDescent="0.35">
      <c r="B332" s="311"/>
      <c r="D332" s="295"/>
      <c r="E332" s="317"/>
      <c r="F332" s="362"/>
      <c r="G332" s="317"/>
      <c r="H332" s="362"/>
      <c r="I332" s="318"/>
      <c r="J332" s="362"/>
      <c r="K332" s="318"/>
      <c r="L332" s="362"/>
      <c r="M332" s="356"/>
      <c r="N332" s="362"/>
      <c r="O332" s="356"/>
      <c r="P332" s="362"/>
      <c r="Q332" s="318"/>
      <c r="R332" s="362"/>
      <c r="S332" s="320"/>
      <c r="T332" s="362"/>
    </row>
    <row r="333" spans="1:255" s="284" customFormat="1" ht="6" customHeight="1" x14ac:dyDescent="0.35">
      <c r="B333" s="311"/>
      <c r="D333" s="295"/>
      <c r="E333" s="317"/>
      <c r="F333" s="356"/>
      <c r="G333" s="317"/>
      <c r="H333" s="356"/>
      <c r="I333" s="318"/>
      <c r="J333" s="356"/>
      <c r="K333" s="318"/>
      <c r="L333" s="356"/>
      <c r="M333" s="356"/>
      <c r="N333" s="385"/>
      <c r="O333" s="385"/>
      <c r="P333" s="385"/>
      <c r="Q333" s="318"/>
      <c r="R333" s="356"/>
      <c r="S333" s="320"/>
      <c r="T333" s="356"/>
    </row>
    <row r="334" spans="1:255" s="284" customFormat="1" ht="26.25" customHeight="1" x14ac:dyDescent="0.35">
      <c r="B334" s="366" t="s">
        <v>431</v>
      </c>
      <c r="C334" s="295"/>
      <c r="D334" s="295"/>
      <c r="E334" s="317"/>
      <c r="F334" s="327">
        <f>+F329+F322+F320+F331</f>
        <v>64506585</v>
      </c>
      <c r="G334" s="317"/>
      <c r="H334" s="327">
        <f>+H329+H322+H320+H331</f>
        <v>4703239</v>
      </c>
      <c r="I334" s="318"/>
      <c r="J334" s="327">
        <f>+J329+J322+J320+J331</f>
        <v>53237095</v>
      </c>
      <c r="K334" s="318"/>
      <c r="L334" s="327"/>
      <c r="M334" s="327"/>
      <c r="N334" s="328">
        <f>+N329+N322+N320+N331</f>
        <v>0</v>
      </c>
      <c r="O334" s="328"/>
      <c r="P334" s="328">
        <f>+P329+P322+P320+P331</f>
        <v>0</v>
      </c>
      <c r="Q334" s="318"/>
      <c r="R334" s="327">
        <f>+R329+R322+R320+R331</f>
        <v>6566251</v>
      </c>
      <c r="S334" s="320"/>
      <c r="T334" s="328">
        <f>+T329+T322+T320</f>
        <v>0</v>
      </c>
    </row>
    <row r="335" spans="1:255" s="284" customFormat="1" ht="9.75" customHeight="1" x14ac:dyDescent="0.35">
      <c r="B335" s="295"/>
      <c r="C335" s="295"/>
      <c r="D335" s="295"/>
      <c r="E335" s="317"/>
      <c r="F335" s="318"/>
      <c r="G335" s="317"/>
      <c r="H335" s="318"/>
      <c r="I335" s="318"/>
      <c r="J335" s="318"/>
      <c r="K335" s="318"/>
      <c r="L335" s="318"/>
      <c r="M335" s="318"/>
      <c r="N335" s="318"/>
      <c r="O335" s="318"/>
      <c r="P335" s="318"/>
      <c r="Q335" s="318"/>
      <c r="R335" s="318"/>
      <c r="S335" s="320"/>
    </row>
    <row r="336" spans="1:255" s="284" customFormat="1" ht="21.75" customHeight="1" x14ac:dyDescent="0.35">
      <c r="B336" s="386" t="s">
        <v>432</v>
      </c>
      <c r="C336" s="295"/>
      <c r="D336" s="295"/>
      <c r="E336" s="317"/>
      <c r="F336" s="368"/>
      <c r="G336" s="317"/>
      <c r="H336" s="368"/>
      <c r="I336" s="318"/>
      <c r="J336" s="368"/>
      <c r="K336" s="318"/>
      <c r="L336" s="368"/>
      <c r="M336" s="356"/>
      <c r="N336" s="368"/>
      <c r="O336" s="356"/>
      <c r="P336" s="368"/>
      <c r="Q336" s="318"/>
      <c r="R336" s="368"/>
      <c r="S336" s="320"/>
      <c r="T336" s="387"/>
    </row>
    <row r="337" spans="2:20" s="284" customFormat="1" ht="22.5" customHeight="1" x14ac:dyDescent="0.35">
      <c r="B337" s="388" t="s">
        <v>388</v>
      </c>
      <c r="C337" s="295"/>
      <c r="D337" s="295"/>
      <c r="E337" s="317"/>
      <c r="F337" s="369">
        <f>+F316-F334</f>
        <v>-2843146</v>
      </c>
      <c r="G337" s="317"/>
      <c r="H337" s="369">
        <f>+H316-H334</f>
        <v>537637</v>
      </c>
      <c r="I337" s="318"/>
      <c r="J337" s="369">
        <f>+J316-J334</f>
        <v>-32384084</v>
      </c>
      <c r="K337" s="318"/>
      <c r="L337" s="327">
        <f>+L316-L334</f>
        <v>24019844</v>
      </c>
      <c r="M337" s="327"/>
      <c r="N337" s="327">
        <f>+N316-N334</f>
        <v>7981242</v>
      </c>
      <c r="O337" s="327"/>
      <c r="P337" s="328">
        <f>+P316-P334</f>
        <v>0</v>
      </c>
      <c r="Q337" s="318"/>
      <c r="R337" s="369">
        <f>+R316-R334</f>
        <v>-2997785</v>
      </c>
      <c r="S337" s="320"/>
      <c r="T337" s="328">
        <f>+T316-T334</f>
        <v>0</v>
      </c>
    </row>
    <row r="338" spans="2:20" s="284" customFormat="1" ht="24.95" hidden="1" customHeight="1" x14ac:dyDescent="0.35">
      <c r="B338" s="295"/>
      <c r="C338" s="389"/>
      <c r="D338" s="295"/>
      <c r="E338" s="317"/>
      <c r="F338" s="318"/>
      <c r="G338" s="317"/>
      <c r="H338" s="318"/>
      <c r="I338" s="318"/>
      <c r="J338" s="318"/>
      <c r="K338" s="318"/>
      <c r="L338" s="318"/>
      <c r="M338" s="318"/>
      <c r="N338" s="318"/>
      <c r="O338" s="318"/>
      <c r="P338" s="318"/>
      <c r="Q338" s="318"/>
      <c r="R338" s="318"/>
      <c r="S338" s="320"/>
    </row>
    <row r="339" spans="2:20" s="284" customFormat="1" ht="25.5" hidden="1" x14ac:dyDescent="0.35">
      <c r="B339" s="295"/>
      <c r="C339" s="389"/>
      <c r="D339" s="295"/>
      <c r="E339" s="317"/>
      <c r="F339" s="318"/>
      <c r="G339" s="317"/>
      <c r="H339" s="318"/>
      <c r="I339" s="318"/>
      <c r="J339" s="318"/>
      <c r="K339" s="318"/>
      <c r="L339" s="318"/>
      <c r="M339" s="318"/>
      <c r="N339" s="318"/>
      <c r="O339" s="318"/>
      <c r="P339" s="318"/>
      <c r="Q339" s="318"/>
      <c r="R339" s="318"/>
      <c r="S339" s="320"/>
    </row>
    <row r="340" spans="2:20" s="284" customFormat="1" ht="25.5" hidden="1" x14ac:dyDescent="0.35">
      <c r="B340" s="383" t="s">
        <v>433</v>
      </c>
      <c r="C340" s="389"/>
      <c r="D340" s="295"/>
      <c r="E340" s="317"/>
      <c r="F340" s="318"/>
      <c r="G340" s="317"/>
      <c r="H340" s="318"/>
      <c r="I340" s="318"/>
      <c r="J340" s="318"/>
      <c r="K340" s="318"/>
      <c r="L340" s="318"/>
      <c r="M340" s="318"/>
      <c r="N340" s="318"/>
      <c r="O340" s="318"/>
      <c r="P340" s="318"/>
      <c r="Q340" s="318"/>
      <c r="R340" s="318"/>
      <c r="S340" s="320"/>
    </row>
    <row r="341" spans="2:20" s="284" customFormat="1" ht="25.5" hidden="1" x14ac:dyDescent="0.35">
      <c r="B341" s="329" t="s">
        <v>389</v>
      </c>
      <c r="C341" s="295"/>
      <c r="D341" s="295"/>
      <c r="E341" s="317"/>
      <c r="F341" s="318"/>
      <c r="G341" s="317"/>
      <c r="H341" s="318"/>
      <c r="I341" s="318"/>
      <c r="J341" s="318"/>
      <c r="K341" s="318"/>
      <c r="L341" s="318"/>
      <c r="M341" s="318"/>
      <c r="N341" s="318"/>
      <c r="O341" s="318"/>
      <c r="P341" s="318"/>
      <c r="Q341" s="318"/>
      <c r="R341" s="318"/>
      <c r="S341" s="320"/>
    </row>
    <row r="342" spans="2:20" s="284" customFormat="1" ht="25.5" hidden="1" x14ac:dyDescent="0.35">
      <c r="B342" s="390" t="s">
        <v>434</v>
      </c>
      <c r="C342" s="295"/>
      <c r="D342" s="295"/>
      <c r="E342" s="317"/>
      <c r="F342" s="313">
        <f>+H342+J342+L342+N342+R342+P342+T342</f>
        <v>0</v>
      </c>
      <c r="G342" s="317"/>
      <c r="H342" s="313"/>
      <c r="I342" s="318"/>
      <c r="J342" s="313"/>
      <c r="K342" s="318"/>
      <c r="L342" s="313"/>
      <c r="M342" s="313"/>
      <c r="N342" s="313"/>
      <c r="O342" s="313"/>
      <c r="P342" s="313"/>
      <c r="Q342" s="318"/>
      <c r="R342" s="313"/>
      <c r="S342" s="320"/>
    </row>
    <row r="343" spans="2:20" s="284" customFormat="1" ht="25.5" hidden="1" x14ac:dyDescent="0.35">
      <c r="B343" s="326"/>
      <c r="C343" s="326"/>
      <c r="D343" s="295"/>
      <c r="E343" s="317"/>
      <c r="F343" s="362"/>
      <c r="G343" s="317"/>
      <c r="H343" s="362"/>
      <c r="I343" s="318"/>
      <c r="J343" s="362"/>
      <c r="K343" s="318"/>
      <c r="L343" s="362"/>
      <c r="M343" s="356"/>
      <c r="N343" s="362"/>
      <c r="O343" s="356"/>
      <c r="P343" s="362"/>
      <c r="Q343" s="318"/>
      <c r="R343" s="362"/>
      <c r="S343" s="320"/>
      <c r="T343" s="362"/>
    </row>
    <row r="344" spans="2:20" s="284" customFormat="1" ht="25.5" hidden="1" x14ac:dyDescent="0.35">
      <c r="B344" s="390" t="s">
        <v>435</v>
      </c>
      <c r="C344" s="326"/>
      <c r="D344" s="295"/>
      <c r="E344" s="317"/>
      <c r="F344" s="327">
        <f>+F337+F342</f>
        <v>-2843146</v>
      </c>
      <c r="G344" s="317"/>
      <c r="H344" s="327">
        <f>+H337+H342</f>
        <v>537637</v>
      </c>
      <c r="I344" s="318"/>
      <c r="J344" s="327">
        <f>+J337+J342</f>
        <v>-32384084</v>
      </c>
      <c r="K344" s="318"/>
      <c r="L344" s="327">
        <f>+L337+L342</f>
        <v>24019844</v>
      </c>
      <c r="M344" s="327"/>
      <c r="N344" s="328">
        <f>+N337+N342</f>
        <v>7981242</v>
      </c>
      <c r="O344" s="327"/>
      <c r="P344" s="328">
        <f>+P337+P342</f>
        <v>0</v>
      </c>
      <c r="Q344" s="318"/>
      <c r="R344" s="327">
        <f>+R337+R342</f>
        <v>-2997785</v>
      </c>
      <c r="S344" s="320"/>
      <c r="T344" s="328">
        <f>+T337+T342</f>
        <v>0</v>
      </c>
    </row>
    <row r="345" spans="2:20" s="284" customFormat="1" ht="8.25" customHeight="1" x14ac:dyDescent="0.35">
      <c r="B345" s="295"/>
      <c r="C345" s="295"/>
      <c r="D345" s="295"/>
      <c r="E345" s="317"/>
      <c r="F345" s="327"/>
      <c r="G345" s="317"/>
      <c r="H345" s="327"/>
      <c r="I345" s="318"/>
      <c r="J345" s="327"/>
      <c r="K345" s="318"/>
      <c r="L345" s="327"/>
      <c r="M345" s="327"/>
      <c r="N345" s="327"/>
      <c r="O345" s="327"/>
      <c r="P345" s="327"/>
      <c r="Q345" s="318"/>
      <c r="R345" s="327"/>
      <c r="S345" s="320"/>
    </row>
    <row r="346" spans="2:20" s="284" customFormat="1" ht="25.5" x14ac:dyDescent="0.35">
      <c r="B346" s="391" t="s">
        <v>436</v>
      </c>
      <c r="C346" s="295"/>
      <c r="D346" s="295"/>
      <c r="E346" s="392"/>
      <c r="F346" s="393">
        <f>F287+F344</f>
        <v>60932384.519999504</v>
      </c>
      <c r="G346" s="394"/>
      <c r="H346" s="395">
        <f>H287+H344</f>
        <v>130418593</v>
      </c>
      <c r="I346" s="396"/>
      <c r="J346" s="393">
        <f>J287+J344</f>
        <v>-124180677.50999999</v>
      </c>
      <c r="K346" s="394"/>
      <c r="L346" s="393">
        <f>L287+L344</f>
        <v>-673573263</v>
      </c>
      <c r="M346" s="394"/>
      <c r="N346" s="395">
        <f>N287+N344</f>
        <v>710078106.81999993</v>
      </c>
      <c r="O346" s="394"/>
      <c r="P346" s="395">
        <f>P287+P344</f>
        <v>12072792</v>
      </c>
      <c r="Q346" s="394"/>
      <c r="R346" s="395">
        <f>R287+R344</f>
        <v>5766517.2100000083</v>
      </c>
      <c r="S346" s="397"/>
      <c r="T346" s="395">
        <f>T287+T344</f>
        <v>350316</v>
      </c>
    </row>
    <row r="347" spans="2:20" s="284" customFormat="1" ht="20.45" customHeight="1" x14ac:dyDescent="0.35">
      <c r="B347" s="391"/>
      <c r="C347" s="295"/>
      <c r="D347" s="295"/>
      <c r="E347" s="392"/>
      <c r="F347" s="327"/>
      <c r="G347" s="394"/>
      <c r="H347" s="327"/>
      <c r="I347" s="396"/>
      <c r="J347" s="327"/>
      <c r="K347" s="394"/>
      <c r="L347" s="327"/>
      <c r="M347" s="394"/>
      <c r="N347" s="327"/>
      <c r="O347" s="394"/>
      <c r="P347" s="327"/>
      <c r="Q347" s="394"/>
      <c r="R347" s="327"/>
      <c r="S347" s="397"/>
      <c r="T347" s="327"/>
    </row>
    <row r="348" spans="2:20" s="284" customFormat="1" ht="20.45" customHeight="1" x14ac:dyDescent="0.35">
      <c r="B348" s="398" t="s">
        <v>437</v>
      </c>
      <c r="C348" s="295"/>
      <c r="D348" s="295"/>
      <c r="E348" s="392"/>
      <c r="F348" s="327"/>
      <c r="G348" s="394"/>
      <c r="H348" s="327"/>
      <c r="I348" s="396"/>
      <c r="J348" s="327"/>
      <c r="K348" s="394"/>
      <c r="L348" s="327"/>
      <c r="M348" s="394"/>
      <c r="N348" s="327"/>
      <c r="O348" s="394"/>
      <c r="P348" s="327"/>
      <c r="Q348" s="394"/>
      <c r="R348" s="327"/>
      <c r="S348" s="397"/>
      <c r="T348" s="327"/>
    </row>
    <row r="349" spans="2:20" s="284" customFormat="1" ht="20.45" customHeight="1" x14ac:dyDescent="0.35">
      <c r="B349" s="399" t="s">
        <v>438</v>
      </c>
      <c r="C349" s="295"/>
      <c r="D349" s="295"/>
      <c r="E349" s="392"/>
      <c r="F349" s="327">
        <f>+H349+J349+L349+N349+R349+P349+T349</f>
        <v>517474312</v>
      </c>
      <c r="G349" s="394"/>
      <c r="H349" s="327"/>
      <c r="I349" s="396"/>
      <c r="J349" s="327"/>
      <c r="K349" s="394"/>
      <c r="L349" s="327">
        <v>517474312</v>
      </c>
      <c r="M349" s="394"/>
      <c r="N349" s="327"/>
      <c r="O349" s="394"/>
      <c r="P349" s="327"/>
      <c r="Q349" s="394"/>
      <c r="R349" s="327"/>
      <c r="S349" s="397"/>
      <c r="T349" s="327"/>
    </row>
    <row r="350" spans="2:20" ht="18" customHeight="1" x14ac:dyDescent="0.4"/>
    <row r="351" spans="2:20" s="401" customFormat="1" thickBot="1" x14ac:dyDescent="0.4">
      <c r="B351" s="400" t="s">
        <v>439</v>
      </c>
      <c r="E351" s="402" t="s">
        <v>25</v>
      </c>
      <c r="F351" s="403">
        <f>F346+F349</f>
        <v>578406696.5199995</v>
      </c>
      <c r="G351" s="402" t="s">
        <v>25</v>
      </c>
      <c r="H351" s="404">
        <f>H346</f>
        <v>130418593</v>
      </c>
      <c r="I351" s="402" t="s">
        <v>25</v>
      </c>
      <c r="J351" s="403">
        <f>J346</f>
        <v>-124180677.50999999</v>
      </c>
      <c r="K351" s="402" t="s">
        <v>25</v>
      </c>
      <c r="L351" s="403">
        <f>L346+L349</f>
        <v>-156098951</v>
      </c>
      <c r="M351" s="402" t="s">
        <v>25</v>
      </c>
      <c r="N351" s="404">
        <f>N346</f>
        <v>710078106.81999993</v>
      </c>
      <c r="O351" s="402" t="s">
        <v>25</v>
      </c>
      <c r="P351" s="404">
        <f>P346</f>
        <v>12072792</v>
      </c>
      <c r="Q351" s="402" t="s">
        <v>25</v>
      </c>
      <c r="R351" s="404">
        <f>R346</f>
        <v>5766517.2100000083</v>
      </c>
      <c r="S351" s="402" t="s">
        <v>25</v>
      </c>
      <c r="T351" s="404">
        <f>T346</f>
        <v>350316</v>
      </c>
    </row>
    <row r="352" spans="2:20" ht="27" thickTop="1" x14ac:dyDescent="0.4"/>
  </sheetData>
  <mergeCells count="2">
    <mergeCell ref="L7:N7"/>
    <mergeCell ref="L8:P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5121" r:id="rId3">
          <objectPr defaultSize="0" autoPict="0" r:id="rId4">
            <anchor moveWithCells="1" sizeWithCells="1">
              <from>
                <xdr:col>19</xdr:col>
                <xdr:colOff>638175</xdr:colOff>
                <xdr:row>195</xdr:row>
                <xdr:rowOff>9525</xdr:rowOff>
              </from>
              <to>
                <xdr:col>19</xdr:col>
                <xdr:colOff>1314450</xdr:colOff>
                <xdr:row>196</xdr:row>
                <xdr:rowOff>200025</xdr:rowOff>
              </to>
            </anchor>
          </objectPr>
        </oleObject>
      </mc:Choice>
      <mc:Fallback>
        <oleObject progId="MSDraw" shapeId="5121" r:id="rId3"/>
      </mc:Fallback>
    </mc:AlternateContent>
    <mc:AlternateContent xmlns:mc="http://schemas.openxmlformats.org/markup-compatibility/2006">
      <mc:Choice Requires="x14">
        <oleObject progId="MSDraw" shapeId="5122" r:id="rId5">
          <objectPr defaultSize="0" autoPict="0" r:id="rId4">
            <anchor moveWithCells="1" sizeWithCells="1">
              <from>
                <xdr:col>19</xdr:col>
                <xdr:colOff>828675</xdr:colOff>
                <xdr:row>93</xdr:row>
                <xdr:rowOff>209550</xdr:rowOff>
              </from>
              <to>
                <xdr:col>20</xdr:col>
                <xdr:colOff>19050</xdr:colOff>
                <xdr:row>95</xdr:row>
                <xdr:rowOff>19050</xdr:rowOff>
              </to>
            </anchor>
          </objectPr>
        </oleObject>
      </mc:Choice>
      <mc:Fallback>
        <oleObject progId="MSDraw" shapeId="5122" r:id="rId5"/>
      </mc:Fallback>
    </mc:AlternateContent>
    <mc:AlternateContent xmlns:mc="http://schemas.openxmlformats.org/markup-compatibility/2006">
      <mc:Choice Requires="x14">
        <oleObject progId="MSDraw" shapeId="5123" r:id="rId6">
          <objectPr defaultSize="0" autoPict="0" r:id="rId4">
            <anchor moveWithCells="1" sizeWithCells="1">
              <from>
                <xdr:col>19</xdr:col>
                <xdr:colOff>666750</xdr:colOff>
                <xdr:row>244</xdr:row>
                <xdr:rowOff>85725</xdr:rowOff>
              </from>
              <to>
                <xdr:col>19</xdr:col>
                <xdr:colOff>1352550</xdr:colOff>
                <xdr:row>245</xdr:row>
                <xdr:rowOff>228600</xdr:rowOff>
              </to>
            </anchor>
          </objectPr>
        </oleObject>
      </mc:Choice>
      <mc:Fallback>
        <oleObject progId="MSDraw" shapeId="5123" r:id="rId6"/>
      </mc:Fallback>
    </mc:AlternateContent>
    <mc:AlternateContent xmlns:mc="http://schemas.openxmlformats.org/markup-compatibility/2006">
      <mc:Choice Requires="x14">
        <oleObject progId="MSDraw" shapeId="5124" r:id="rId7">
          <objectPr defaultSize="0" autoPict="0" r:id="rId4">
            <anchor moveWithCells="1" sizeWithCells="1">
              <from>
                <xdr:col>19</xdr:col>
                <xdr:colOff>704850</xdr:colOff>
                <xdr:row>280</xdr:row>
                <xdr:rowOff>123825</xdr:rowOff>
              </from>
              <to>
                <xdr:col>19</xdr:col>
                <xdr:colOff>1381125</xdr:colOff>
                <xdr:row>282</xdr:row>
                <xdr:rowOff>19050</xdr:rowOff>
              </to>
            </anchor>
          </objectPr>
        </oleObject>
      </mc:Choice>
      <mc:Fallback>
        <oleObject progId="MSDraw" shapeId="5124" r:id="rId7"/>
      </mc:Fallback>
    </mc:AlternateContent>
    <mc:AlternateContent xmlns:mc="http://schemas.openxmlformats.org/markup-compatibility/2006">
      <mc:Choice Requires="x14">
        <oleObject progId="MSDraw" shapeId="5125" r:id="rId8">
          <objectPr defaultSize="0" autoPict="0" r:id="rId4">
            <anchor moveWithCells="1" sizeWithCells="1">
              <from>
                <xdr:col>19</xdr:col>
                <xdr:colOff>742950</xdr:colOff>
                <xdr:row>346</xdr:row>
                <xdr:rowOff>247650</xdr:rowOff>
              </from>
              <to>
                <xdr:col>19</xdr:col>
                <xdr:colOff>1428750</xdr:colOff>
                <xdr:row>348</xdr:row>
                <xdr:rowOff>247650</xdr:rowOff>
              </to>
            </anchor>
          </objectPr>
        </oleObject>
      </mc:Choice>
      <mc:Fallback>
        <oleObject progId="MSDraw" shapeId="5125" r:id="rId8"/>
      </mc:Fallback>
    </mc:AlternateContent>
    <mc:AlternateContent xmlns:mc="http://schemas.openxmlformats.org/markup-compatibility/2006">
      <mc:Choice Requires="x14">
        <oleObject progId="MSDraw" shapeId="5126" r:id="rId9">
          <objectPr defaultSize="0" autoPict="0" r:id="rId4">
            <anchor moveWithCells="1" sizeWithCells="1">
              <from>
                <xdr:col>19</xdr:col>
                <xdr:colOff>809625</xdr:colOff>
                <xdr:row>53</xdr:row>
                <xdr:rowOff>19050</xdr:rowOff>
              </from>
              <to>
                <xdr:col>19</xdr:col>
                <xdr:colOff>1485900</xdr:colOff>
                <xdr:row>54</xdr:row>
                <xdr:rowOff>171450</xdr:rowOff>
              </to>
            </anchor>
          </objectPr>
        </oleObject>
      </mc:Choice>
      <mc:Fallback>
        <oleObject progId="MSDraw" shapeId="5126" r:id="rId9"/>
      </mc:Fallback>
    </mc:AlternateContent>
    <mc:AlternateContent xmlns:mc="http://schemas.openxmlformats.org/markup-compatibility/2006">
      <mc:Choice Requires="x14">
        <oleObject progId="MSDraw" shapeId="5127" r:id="rId10">
          <objectPr defaultSize="0" autoPict="0" r:id="rId4">
            <anchor moveWithCells="1" sizeWithCells="1">
              <from>
                <xdr:col>19</xdr:col>
                <xdr:colOff>819150</xdr:colOff>
                <xdr:row>148</xdr:row>
                <xdr:rowOff>9525</xdr:rowOff>
              </from>
              <to>
                <xdr:col>20</xdr:col>
                <xdr:colOff>0</xdr:colOff>
                <xdr:row>149</xdr:row>
                <xdr:rowOff>200025</xdr:rowOff>
              </to>
            </anchor>
          </objectPr>
        </oleObject>
      </mc:Choice>
      <mc:Fallback>
        <oleObject progId="MSDraw" shapeId="5127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EF73C-8BB2-49A1-B121-073B43A4954A}">
  <dimension ref="A1:AH97"/>
  <sheetViews>
    <sheetView topLeftCell="E19" zoomScale="82" zoomScaleNormal="82" workbookViewId="0">
      <selection activeCell="V28" sqref="V28"/>
    </sheetView>
  </sheetViews>
  <sheetFormatPr baseColWidth="10" defaultColWidth="14.85546875" defaultRowHeight="15.75" x14ac:dyDescent="0.25"/>
  <cols>
    <col min="1" max="2" width="1.140625" style="1" customWidth="1"/>
    <col min="3" max="3" width="3.7109375" style="1" customWidth="1"/>
    <col min="4" max="4" width="54.7109375" style="1" customWidth="1"/>
    <col min="5" max="5" width="4.5703125" style="1" customWidth="1"/>
    <col min="6" max="6" width="24" style="1" customWidth="1"/>
    <col min="7" max="7" width="4.5703125" style="1" customWidth="1"/>
    <col min="8" max="8" width="21.7109375" style="1" customWidth="1"/>
    <col min="9" max="9" width="4.5703125" style="1" customWidth="1"/>
    <col min="10" max="10" width="21.7109375" style="1" customWidth="1"/>
    <col min="11" max="11" width="4.5703125" style="1" customWidth="1"/>
    <col min="12" max="12" width="21.7109375" style="1" customWidth="1"/>
    <col min="13" max="13" width="4.5703125" style="1" customWidth="1"/>
    <col min="14" max="14" width="26.140625" style="1" customWidth="1"/>
    <col min="15" max="15" width="4.5703125" style="1" customWidth="1"/>
    <col min="16" max="16" width="21.7109375" style="1" customWidth="1"/>
    <col min="17" max="17" width="4.5703125" style="1" customWidth="1"/>
    <col min="18" max="18" width="21.7109375" style="1" customWidth="1"/>
    <col min="19" max="19" width="4.42578125" style="1" customWidth="1"/>
    <col min="20" max="20" width="21.7109375" style="1" customWidth="1"/>
    <col min="21" max="21" width="4.42578125" style="1" customWidth="1"/>
    <col min="22" max="22" width="21.7109375" style="1" customWidth="1"/>
    <col min="23" max="23" width="4.42578125" style="1" customWidth="1"/>
    <col min="24" max="24" width="21.7109375" style="1" customWidth="1"/>
    <col min="25" max="25" width="1.28515625" style="1" customWidth="1"/>
    <col min="26" max="16384" width="14.85546875" style="1"/>
  </cols>
  <sheetData>
    <row r="1" spans="3:34" ht="6" customHeight="1" x14ac:dyDescent="0.25"/>
    <row r="2" spans="3:34" ht="6" customHeight="1" x14ac:dyDescent="0.25"/>
    <row r="3" spans="3:34" ht="15" customHeight="1" x14ac:dyDescent="0.3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3"/>
      <c r="V3" s="4"/>
      <c r="W3" s="3"/>
      <c r="X3" s="4"/>
      <c r="Y3" s="5"/>
    </row>
    <row r="4" spans="3:34" ht="33.75" x14ac:dyDescent="0.25">
      <c r="C4" s="6" t="s">
        <v>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AH4" s="9"/>
    </row>
    <row r="5" spans="3:34" ht="27" x14ac:dyDescent="0.25">
      <c r="C5" s="10" t="s">
        <v>1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AH5" s="9"/>
    </row>
    <row r="6" spans="3:34" ht="25.5" customHeight="1" x14ac:dyDescent="0.25">
      <c r="C6" s="13" t="s">
        <v>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  <c r="Z6" s="16"/>
      <c r="AA6" s="16"/>
      <c r="AB6" s="16"/>
      <c r="AC6" s="16"/>
      <c r="AD6" s="16"/>
      <c r="AH6" s="9"/>
    </row>
    <row r="7" spans="3:34" ht="25.5" customHeight="1" x14ac:dyDescent="0.25">
      <c r="C7" s="13" t="s">
        <v>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5"/>
      <c r="Z7" s="16"/>
      <c r="AA7" s="16"/>
      <c r="AB7" s="16"/>
      <c r="AC7" s="16"/>
      <c r="AD7" s="16"/>
      <c r="AH7" s="9"/>
    </row>
    <row r="8" spans="3:34" s="18" customFormat="1" ht="15" x14ac:dyDescent="0.2">
      <c r="C8" s="17"/>
      <c r="Y8" s="19"/>
      <c r="AH8" s="20"/>
    </row>
    <row r="9" spans="3:34" s="18" customFormat="1" ht="20.25" customHeight="1" x14ac:dyDescent="0.3">
      <c r="C9" s="17"/>
      <c r="E9" s="21"/>
      <c r="F9" s="415" t="s">
        <v>4</v>
      </c>
      <c r="G9" s="22"/>
      <c r="H9" s="417" t="s">
        <v>5</v>
      </c>
      <c r="I9" s="417"/>
      <c r="J9" s="417"/>
      <c r="K9" s="417"/>
      <c r="L9" s="417"/>
      <c r="M9" s="22"/>
      <c r="N9" s="417" t="s">
        <v>6</v>
      </c>
      <c r="O9" s="22"/>
      <c r="P9" s="417" t="s">
        <v>7</v>
      </c>
      <c r="Q9" s="417"/>
      <c r="R9" s="417"/>
      <c r="S9" s="417"/>
      <c r="T9" s="417"/>
      <c r="U9" s="22"/>
      <c r="V9" s="23"/>
      <c r="W9" s="24"/>
      <c r="X9" s="25"/>
      <c r="Y9" s="26"/>
      <c r="AH9" s="20"/>
    </row>
    <row r="10" spans="3:34" s="18" customFormat="1" ht="20.25" x14ac:dyDescent="0.3">
      <c r="C10" s="17"/>
      <c r="D10" s="18" t="s">
        <v>8</v>
      </c>
      <c r="E10" s="21"/>
      <c r="F10" s="415"/>
      <c r="G10" s="22"/>
      <c r="H10" s="417"/>
      <c r="I10" s="417"/>
      <c r="J10" s="417"/>
      <c r="K10" s="417"/>
      <c r="L10" s="417"/>
      <c r="M10" s="22"/>
      <c r="N10" s="415"/>
      <c r="O10" s="22"/>
      <c r="P10" s="417"/>
      <c r="Q10" s="417"/>
      <c r="R10" s="417"/>
      <c r="S10" s="417"/>
      <c r="T10" s="417"/>
      <c r="U10" s="22"/>
      <c r="V10" s="417" t="s">
        <v>9</v>
      </c>
      <c r="W10" s="417"/>
      <c r="X10" s="417"/>
      <c r="Y10" s="26"/>
      <c r="AH10" s="20"/>
    </row>
    <row r="11" spans="3:34" s="18" customFormat="1" ht="20.25" customHeight="1" x14ac:dyDescent="0.3">
      <c r="C11" s="17"/>
      <c r="E11" s="27"/>
      <c r="F11" s="416"/>
      <c r="G11" s="27"/>
      <c r="H11" s="418"/>
      <c r="I11" s="418"/>
      <c r="J11" s="418"/>
      <c r="K11" s="418"/>
      <c r="L11" s="418"/>
      <c r="M11" s="27"/>
      <c r="N11" s="416"/>
      <c r="O11" s="22"/>
      <c r="P11" s="418"/>
      <c r="Q11" s="418"/>
      <c r="R11" s="418"/>
      <c r="S11" s="418"/>
      <c r="T11" s="418"/>
      <c r="U11" s="22"/>
      <c r="V11" s="418"/>
      <c r="W11" s="418"/>
      <c r="X11" s="418"/>
      <c r="Y11" s="28"/>
    </row>
    <row r="12" spans="3:34" s="18" customFormat="1" ht="5.25" customHeight="1" x14ac:dyDescent="0.3">
      <c r="C12" s="17"/>
      <c r="E12" s="27"/>
      <c r="F12" s="29"/>
      <c r="G12" s="27"/>
      <c r="H12" s="30"/>
      <c r="I12" s="27"/>
      <c r="J12" s="30"/>
      <c r="K12" s="27"/>
      <c r="L12" s="30"/>
      <c r="M12" s="27"/>
      <c r="N12" s="29"/>
      <c r="O12" s="22"/>
      <c r="P12" s="29"/>
      <c r="Q12" s="29"/>
      <c r="R12" s="29"/>
      <c r="S12" s="22"/>
      <c r="T12" s="29"/>
      <c r="U12" s="22"/>
      <c r="V12" s="31"/>
      <c r="W12" s="22"/>
      <c r="X12" s="23"/>
      <c r="Y12" s="28"/>
    </row>
    <row r="13" spans="3:34" s="18" customFormat="1" ht="20.25" x14ac:dyDescent="0.3">
      <c r="C13" s="17"/>
      <c r="E13" s="27"/>
      <c r="F13" s="29"/>
      <c r="G13" s="27"/>
      <c r="H13" s="32"/>
      <c r="I13" s="27"/>
      <c r="J13" s="33" t="s">
        <v>10</v>
      </c>
      <c r="K13" s="27"/>
      <c r="L13" s="33" t="s">
        <v>11</v>
      </c>
      <c r="M13" s="27"/>
      <c r="N13" s="29"/>
      <c r="O13" s="22"/>
      <c r="P13" s="25" t="s">
        <v>12</v>
      </c>
      <c r="Q13" s="25"/>
      <c r="R13" s="29" t="s">
        <v>13</v>
      </c>
      <c r="S13" s="22"/>
      <c r="T13" s="29"/>
      <c r="U13" s="22"/>
      <c r="V13" s="23"/>
      <c r="W13" s="24"/>
      <c r="X13" s="25"/>
      <c r="Y13" s="28"/>
    </row>
    <row r="14" spans="3:34" s="18" customFormat="1" ht="20.25" x14ac:dyDescent="0.3">
      <c r="C14" s="17"/>
      <c r="E14" s="27"/>
      <c r="F14" s="29"/>
      <c r="G14" s="27"/>
      <c r="H14" s="32" t="s">
        <v>14</v>
      </c>
      <c r="I14" s="27"/>
      <c r="J14" s="33" t="s">
        <v>15</v>
      </c>
      <c r="K14" s="27"/>
      <c r="L14" s="33" t="s">
        <v>15</v>
      </c>
      <c r="M14" s="27"/>
      <c r="N14" s="29"/>
      <c r="O14" s="22"/>
      <c r="P14" s="25" t="s">
        <v>16</v>
      </c>
      <c r="Q14" s="25"/>
      <c r="R14" s="29" t="s">
        <v>17</v>
      </c>
      <c r="S14" s="22"/>
      <c r="T14" s="29" t="s">
        <v>18</v>
      </c>
      <c r="U14" s="22"/>
      <c r="V14" s="25" t="s">
        <v>19</v>
      </c>
      <c r="W14" s="24"/>
      <c r="X14" s="29" t="s">
        <v>18</v>
      </c>
      <c r="Y14" s="28"/>
    </row>
    <row r="15" spans="3:34" s="18" customFormat="1" ht="20.25" x14ac:dyDescent="0.3">
      <c r="C15" s="17"/>
      <c r="E15" s="27"/>
      <c r="F15" s="29"/>
      <c r="G15" s="27"/>
      <c r="H15" s="34"/>
      <c r="I15" s="27"/>
      <c r="J15" s="35" t="s">
        <v>20</v>
      </c>
      <c r="K15" s="27"/>
      <c r="L15" s="35" t="s">
        <v>21</v>
      </c>
      <c r="M15" s="27"/>
      <c r="N15" s="29"/>
      <c r="O15" s="22"/>
      <c r="P15" s="36" t="s">
        <v>22</v>
      </c>
      <c r="Q15" s="29"/>
      <c r="R15" s="37"/>
      <c r="S15" s="22"/>
      <c r="T15" s="37"/>
      <c r="U15" s="22"/>
      <c r="V15" s="38" t="s">
        <v>23</v>
      </c>
      <c r="W15" s="24"/>
      <c r="X15" s="38"/>
      <c r="Y15" s="28"/>
    </row>
    <row r="16" spans="3:34" s="18" customFormat="1" ht="15" x14ac:dyDescent="0.2">
      <c r="C16" s="17"/>
      <c r="Y16" s="19"/>
    </row>
    <row r="17" spans="3:27" s="18" customFormat="1" ht="18.75" customHeight="1" x14ac:dyDescent="0.2">
      <c r="C17" s="39"/>
      <c r="Y17" s="19"/>
    </row>
    <row r="18" spans="3:27" s="18" customFormat="1" ht="23.25" customHeight="1" x14ac:dyDescent="0.3">
      <c r="C18" s="40" t="s">
        <v>24</v>
      </c>
      <c r="D18" s="41"/>
      <c r="E18" s="42" t="s">
        <v>25</v>
      </c>
      <c r="F18" s="43">
        <v>9607899601.1100006</v>
      </c>
      <c r="G18" s="42" t="s">
        <v>25</v>
      </c>
      <c r="H18" s="43">
        <v>404914667</v>
      </c>
      <c r="I18" s="42" t="s">
        <v>25</v>
      </c>
      <c r="J18" s="43">
        <v>221864720</v>
      </c>
      <c r="K18" s="42" t="s">
        <v>25</v>
      </c>
      <c r="L18" s="43">
        <v>15501652</v>
      </c>
      <c r="M18" s="42" t="s">
        <v>25</v>
      </c>
      <c r="N18" s="43">
        <v>2328515851</v>
      </c>
      <c r="O18" s="42" t="s">
        <v>25</v>
      </c>
      <c r="P18" s="43">
        <v>1001381464.1099999</v>
      </c>
      <c r="Q18" s="42" t="s">
        <v>25</v>
      </c>
      <c r="R18" s="43">
        <v>4383232810</v>
      </c>
      <c r="S18" s="42" t="s">
        <v>25</v>
      </c>
      <c r="T18" s="43">
        <v>355428526</v>
      </c>
      <c r="U18" s="42" t="s">
        <v>25</v>
      </c>
      <c r="V18" s="43">
        <v>883672183</v>
      </c>
      <c r="W18" s="42" t="s">
        <v>25</v>
      </c>
      <c r="X18" s="43">
        <v>13387728</v>
      </c>
      <c r="Y18" s="19"/>
    </row>
    <row r="19" spans="3:27" s="18" customFormat="1" ht="15" customHeight="1" x14ac:dyDescent="0.3">
      <c r="C19" s="40"/>
      <c r="D19" s="41"/>
      <c r="E19" s="42"/>
      <c r="F19" s="44"/>
      <c r="G19" s="45"/>
      <c r="H19" s="44"/>
      <c r="I19" s="45"/>
      <c r="J19" s="44"/>
      <c r="K19" s="45"/>
      <c r="L19" s="44"/>
      <c r="M19" s="45"/>
      <c r="N19" s="44"/>
      <c r="O19" s="42"/>
      <c r="P19" s="44"/>
      <c r="Q19" s="44"/>
      <c r="R19" s="44"/>
      <c r="S19" s="45"/>
      <c r="T19" s="46"/>
      <c r="U19" s="45"/>
      <c r="V19" s="46"/>
      <c r="W19" s="45"/>
      <c r="X19" s="46"/>
      <c r="Y19" s="19"/>
    </row>
    <row r="20" spans="3:27" s="18" customFormat="1" ht="24" hidden="1" customHeight="1" x14ac:dyDescent="0.3">
      <c r="C20" s="40"/>
      <c r="D20" s="47" t="s">
        <v>26</v>
      </c>
      <c r="E20" s="42"/>
      <c r="F20" s="44">
        <f>X20+V20+T20+R20+P20+N20+H20+J20+L20</f>
        <v>0</v>
      </c>
      <c r="G20" s="45"/>
      <c r="H20" s="44"/>
      <c r="I20" s="45"/>
      <c r="J20" s="44"/>
      <c r="K20" s="45"/>
      <c r="L20" s="44"/>
      <c r="M20" s="45"/>
      <c r="N20" s="44"/>
      <c r="O20" s="42"/>
      <c r="P20" s="44"/>
      <c r="Q20" s="44"/>
      <c r="R20" s="44"/>
      <c r="S20" s="45"/>
      <c r="T20" s="46"/>
      <c r="U20" s="45"/>
      <c r="V20" s="46"/>
      <c r="W20" s="45"/>
      <c r="X20" s="46"/>
      <c r="Y20" s="19"/>
    </row>
    <row r="21" spans="3:27" s="18" customFormat="1" ht="24" customHeight="1" x14ac:dyDescent="0.3">
      <c r="C21" s="40"/>
      <c r="D21" s="47" t="s">
        <v>27</v>
      </c>
      <c r="E21" s="42"/>
      <c r="F21" s="48">
        <f>X21+V21+T21+R21+P21+N21+H21+J21+L21</f>
        <v>1833085</v>
      </c>
      <c r="G21" s="49"/>
      <c r="H21" s="48">
        <v>565711</v>
      </c>
      <c r="I21" s="49"/>
      <c r="J21" s="48"/>
      <c r="K21" s="49"/>
      <c r="L21" s="48"/>
      <c r="M21" s="49"/>
      <c r="N21" s="48">
        <v>1267359</v>
      </c>
      <c r="O21" s="50"/>
      <c r="P21" s="48"/>
      <c r="Q21" s="48"/>
      <c r="R21" s="48"/>
      <c r="S21" s="49"/>
      <c r="T21" s="51"/>
      <c r="U21" s="49"/>
      <c r="V21" s="48">
        <v>15</v>
      </c>
      <c r="W21" s="49"/>
      <c r="X21" s="51"/>
      <c r="Y21" s="19"/>
    </row>
    <row r="22" spans="3:27" s="18" customFormat="1" ht="24" customHeight="1" x14ac:dyDescent="0.3">
      <c r="C22" s="40"/>
      <c r="D22" s="41" t="s">
        <v>28</v>
      </c>
      <c r="E22" s="42"/>
      <c r="F22" s="52">
        <f>X22+V22+T22+R22+P22+N22+H22+J22+L22</f>
        <v>-2007934</v>
      </c>
      <c r="G22" s="49"/>
      <c r="H22" s="52">
        <v>-1406175</v>
      </c>
      <c r="I22" s="49"/>
      <c r="J22" s="48"/>
      <c r="K22" s="49"/>
      <c r="L22" s="48"/>
      <c r="M22" s="49"/>
      <c r="N22" s="48">
        <v>75555</v>
      </c>
      <c r="O22" s="50"/>
      <c r="P22" s="52">
        <v>-701638</v>
      </c>
      <c r="Q22" s="48"/>
      <c r="R22" s="48"/>
      <c r="S22" s="49"/>
      <c r="T22" s="51"/>
      <c r="U22" s="49"/>
      <c r="V22" s="48">
        <v>24324</v>
      </c>
      <c r="W22" s="49"/>
      <c r="X22" s="51"/>
      <c r="Y22" s="19"/>
    </row>
    <row r="23" spans="3:27" s="45" customFormat="1" ht="24" customHeight="1" x14ac:dyDescent="0.3">
      <c r="C23" s="53"/>
      <c r="D23" s="41" t="s">
        <v>29</v>
      </c>
      <c r="E23" s="42"/>
      <c r="F23" s="48">
        <f>X23+V23+T23+R23+P23+N23+H23+J23+L23</f>
        <v>2565095</v>
      </c>
      <c r="G23" s="48"/>
      <c r="H23" s="48"/>
      <c r="I23" s="54"/>
      <c r="J23" s="48"/>
      <c r="K23" s="54"/>
      <c r="L23" s="48"/>
      <c r="M23" s="48"/>
      <c r="N23" s="48">
        <v>2053781</v>
      </c>
      <c r="O23" s="54"/>
      <c r="P23" s="48"/>
      <c r="Q23" s="48"/>
      <c r="R23" s="48"/>
      <c r="S23" s="54"/>
      <c r="T23" s="48"/>
      <c r="U23" s="54"/>
      <c r="V23" s="48">
        <v>511314</v>
      </c>
      <c r="W23" s="54"/>
      <c r="X23" s="48"/>
      <c r="Y23" s="55"/>
    </row>
    <row r="24" spans="3:27" s="18" customFormat="1" ht="24" customHeight="1" x14ac:dyDescent="0.3">
      <c r="C24" s="53"/>
      <c r="D24" s="41" t="s">
        <v>30</v>
      </c>
      <c r="E24" s="42"/>
      <c r="F24" s="52">
        <f t="shared" ref="F24:F27" si="0">X24+V24+T24+R24+P24+N24+H24+J24+L24</f>
        <v>-88011302.450000048</v>
      </c>
      <c r="G24" s="48"/>
      <c r="H24" s="48">
        <v>70241959</v>
      </c>
      <c r="I24" s="48"/>
      <c r="J24" s="48">
        <v>36991402</v>
      </c>
      <c r="K24" s="48"/>
      <c r="L24" s="48">
        <v>2412089</v>
      </c>
      <c r="M24" s="48"/>
      <c r="N24" s="52">
        <v>-184638457</v>
      </c>
      <c r="O24" s="54"/>
      <c r="P24" s="52">
        <v>-654584655</v>
      </c>
      <c r="Q24" s="48"/>
      <c r="R24" s="48">
        <v>621592958</v>
      </c>
      <c r="S24" s="54"/>
      <c r="T24" s="48">
        <v>14481402</v>
      </c>
      <c r="U24" s="54"/>
      <c r="V24" s="48">
        <v>5126005.55</v>
      </c>
      <c r="W24" s="54"/>
      <c r="X24" s="48">
        <v>365994</v>
      </c>
      <c r="Y24" s="19"/>
    </row>
    <row r="25" spans="3:27" s="18" customFormat="1" ht="24" hidden="1" customHeight="1" x14ac:dyDescent="0.3">
      <c r="C25" s="53"/>
      <c r="D25" s="56" t="s">
        <v>31</v>
      </c>
      <c r="E25" s="42"/>
      <c r="F25" s="48">
        <f t="shared" si="0"/>
        <v>0</v>
      </c>
      <c r="G25" s="48"/>
      <c r="H25" s="48"/>
      <c r="I25" s="48"/>
      <c r="J25" s="48"/>
      <c r="K25" s="48"/>
      <c r="L25" s="48"/>
      <c r="M25" s="48"/>
      <c r="N25" s="48"/>
      <c r="O25" s="54"/>
      <c r="P25" s="48"/>
      <c r="Q25" s="48"/>
      <c r="R25" s="48"/>
      <c r="S25" s="54"/>
      <c r="T25" s="48"/>
      <c r="U25" s="54"/>
      <c r="V25" s="48"/>
      <c r="W25" s="54"/>
      <c r="X25" s="48"/>
      <c r="Y25" s="19"/>
    </row>
    <row r="26" spans="3:27" s="18" customFormat="1" ht="24" customHeight="1" x14ac:dyDescent="0.25">
      <c r="C26" s="57"/>
      <c r="D26" s="41" t="s">
        <v>32</v>
      </c>
      <c r="F26" s="48">
        <f t="shared" si="0"/>
        <v>1396380</v>
      </c>
      <c r="G26" s="48"/>
      <c r="H26" s="48"/>
      <c r="I26" s="48"/>
      <c r="J26" s="48"/>
      <c r="K26" s="48"/>
      <c r="L26" s="48"/>
      <c r="M26" s="48"/>
      <c r="N26" s="48"/>
      <c r="O26" s="54"/>
      <c r="P26" s="48">
        <f>-12923+1409303</f>
        <v>1396380</v>
      </c>
      <c r="Q26" s="48"/>
      <c r="R26" s="48"/>
      <c r="S26" s="54"/>
      <c r="T26" s="48"/>
      <c r="U26" s="54"/>
      <c r="V26" s="48"/>
      <c r="W26" s="54"/>
      <c r="X26" s="48"/>
      <c r="Y26" s="19"/>
    </row>
    <row r="27" spans="3:27" s="18" customFormat="1" ht="24" customHeight="1" x14ac:dyDescent="0.3">
      <c r="C27" s="53"/>
      <c r="D27" s="58" t="s">
        <v>33</v>
      </c>
      <c r="E27" s="42"/>
      <c r="F27" s="59">
        <f t="shared" si="0"/>
        <v>25074243</v>
      </c>
      <c r="G27" s="48"/>
      <c r="H27" s="52">
        <v>-204141</v>
      </c>
      <c r="I27" s="48"/>
      <c r="J27" s="59"/>
      <c r="K27" s="54"/>
      <c r="L27" s="59">
        <v>85</v>
      </c>
      <c r="M27" s="48"/>
      <c r="N27" s="59">
        <v>25560144</v>
      </c>
      <c r="O27" s="54"/>
      <c r="P27" s="59">
        <v>372847</v>
      </c>
      <c r="Q27" s="48"/>
      <c r="R27" s="59">
        <v>1058355</v>
      </c>
      <c r="S27" s="54"/>
      <c r="T27" s="59"/>
      <c r="U27" s="54"/>
      <c r="V27" s="60">
        <v>-1713047</v>
      </c>
      <c r="W27" s="54"/>
      <c r="X27" s="59"/>
      <c r="Y27" s="19"/>
    </row>
    <row r="28" spans="3:27" s="18" customFormat="1" ht="24" customHeight="1" x14ac:dyDescent="0.3">
      <c r="C28" s="53"/>
      <c r="E28" s="42"/>
      <c r="F28" s="61"/>
      <c r="G28" s="45"/>
      <c r="H28" s="62"/>
      <c r="I28" s="45"/>
      <c r="J28" s="62"/>
      <c r="K28" s="45"/>
      <c r="L28" s="62"/>
      <c r="M28" s="45"/>
      <c r="N28" s="61"/>
      <c r="O28" s="42"/>
      <c r="P28" s="61"/>
      <c r="Q28" s="61"/>
      <c r="R28" s="61"/>
      <c r="S28" s="45"/>
      <c r="T28" s="61"/>
      <c r="U28" s="45"/>
      <c r="V28" s="61"/>
      <c r="W28" s="45"/>
      <c r="X28" s="61"/>
      <c r="Y28" s="19"/>
    </row>
    <row r="29" spans="3:27" s="18" customFormat="1" ht="24" customHeight="1" thickBot="1" x14ac:dyDescent="0.35">
      <c r="C29" s="63" t="s">
        <v>34</v>
      </c>
      <c r="E29" s="42" t="s">
        <v>25</v>
      </c>
      <c r="F29" s="64">
        <f>X29+V29+T29+R29+P29+N29+J29+L29+H29</f>
        <v>9548749167.6599998</v>
      </c>
      <c r="G29" s="42" t="s">
        <v>25</v>
      </c>
      <c r="H29" s="65">
        <f>SUM(H18:H27)</f>
        <v>474112021</v>
      </c>
      <c r="I29" s="42" t="s">
        <v>25</v>
      </c>
      <c r="J29" s="66">
        <f>SUM(J18:J27)</f>
        <v>258856122</v>
      </c>
      <c r="K29" s="42" t="s">
        <v>25</v>
      </c>
      <c r="L29" s="65">
        <f>SUM(L18:L27)</f>
        <v>17913826</v>
      </c>
      <c r="M29" s="50" t="s">
        <v>25</v>
      </c>
      <c r="N29" s="65">
        <f>SUM(N18:N27)</f>
        <v>2172834233</v>
      </c>
      <c r="O29" s="50" t="s">
        <v>25</v>
      </c>
      <c r="P29" s="65">
        <f>SUM(P18:P27)</f>
        <v>347864398.1099999</v>
      </c>
      <c r="Q29" s="42" t="s">
        <v>25</v>
      </c>
      <c r="R29" s="66">
        <f>SUM(R18:R27)</f>
        <v>5005884123</v>
      </c>
      <c r="S29" s="42" t="s">
        <v>25</v>
      </c>
      <c r="T29" s="66">
        <f>SUM(T18:T27)</f>
        <v>369909928</v>
      </c>
      <c r="U29" s="42" t="s">
        <v>25</v>
      </c>
      <c r="V29" s="66">
        <f>SUM(V18:V27)</f>
        <v>887620794.54999995</v>
      </c>
      <c r="W29" s="42" t="s">
        <v>25</v>
      </c>
      <c r="X29" s="66">
        <f>SUM(X18:X27)</f>
        <v>13753722</v>
      </c>
      <c r="Y29" s="19"/>
      <c r="AA29" s="67"/>
    </row>
    <row r="30" spans="3:27" s="18" customFormat="1" ht="24" customHeight="1" thickTop="1" x14ac:dyDescent="0.3">
      <c r="C30" s="53"/>
      <c r="E30" s="42"/>
      <c r="F30" s="61"/>
      <c r="G30" s="45"/>
      <c r="H30" s="61"/>
      <c r="I30" s="45"/>
      <c r="J30" s="61"/>
      <c r="K30" s="45"/>
      <c r="L30" s="61"/>
      <c r="M30" s="45"/>
      <c r="N30" s="61"/>
      <c r="O30" s="42"/>
      <c r="P30" s="61"/>
      <c r="Q30" s="61"/>
      <c r="R30" s="61"/>
      <c r="S30" s="45"/>
      <c r="T30" s="61"/>
      <c r="U30" s="45"/>
      <c r="V30" s="61"/>
      <c r="W30" s="45"/>
      <c r="X30" s="61"/>
      <c r="Y30" s="19"/>
      <c r="AA30" s="67"/>
    </row>
    <row r="31" spans="3:27" s="18" customFormat="1" ht="7.5" customHeight="1" x14ac:dyDescent="0.3">
      <c r="C31" s="53"/>
      <c r="E31" s="42"/>
      <c r="F31" s="61"/>
      <c r="G31" s="45"/>
      <c r="H31" s="61"/>
      <c r="I31" s="45"/>
      <c r="J31" s="61"/>
      <c r="K31" s="45"/>
      <c r="L31" s="61"/>
      <c r="M31" s="45"/>
      <c r="N31" s="61"/>
      <c r="O31" s="42"/>
      <c r="P31" s="61"/>
      <c r="Q31" s="61"/>
      <c r="R31" s="61"/>
      <c r="S31" s="45"/>
      <c r="T31" s="61"/>
      <c r="U31" s="45"/>
      <c r="V31" s="61"/>
      <c r="W31" s="45"/>
      <c r="X31" s="61"/>
      <c r="Y31" s="19"/>
      <c r="AA31" s="67"/>
    </row>
    <row r="32" spans="3:27" s="18" customFormat="1" ht="20.100000000000001" customHeight="1" x14ac:dyDescent="0.3">
      <c r="C32" s="53"/>
      <c r="E32" s="42"/>
      <c r="F32" s="61"/>
      <c r="G32" s="45"/>
      <c r="H32" s="61"/>
      <c r="I32" s="45"/>
      <c r="J32" s="61"/>
      <c r="K32" s="45"/>
      <c r="L32" s="61"/>
      <c r="M32" s="45"/>
      <c r="N32" s="61"/>
      <c r="O32" s="42"/>
      <c r="P32" s="61"/>
      <c r="Q32" s="61"/>
      <c r="R32" s="61"/>
      <c r="S32" s="45"/>
      <c r="T32" s="61"/>
      <c r="U32" s="45"/>
      <c r="V32" s="61"/>
      <c r="W32" s="45"/>
      <c r="X32" s="61"/>
      <c r="Y32" s="19"/>
      <c r="AA32" s="67"/>
    </row>
    <row r="33" spans="1:25" s="18" customFormat="1" ht="24" customHeight="1" x14ac:dyDescent="0.3">
      <c r="A33" s="18" t="s">
        <v>8</v>
      </c>
      <c r="C33" s="40" t="s">
        <v>35</v>
      </c>
      <c r="D33" s="41"/>
      <c r="E33" s="42" t="s">
        <v>25</v>
      </c>
      <c r="F33" s="43">
        <v>9548749167.6599998</v>
      </c>
      <c r="G33" s="42" t="s">
        <v>25</v>
      </c>
      <c r="H33" s="43">
        <v>474112021</v>
      </c>
      <c r="I33" s="42" t="s">
        <v>25</v>
      </c>
      <c r="J33" s="43">
        <v>258856122</v>
      </c>
      <c r="K33" s="42" t="s">
        <v>25</v>
      </c>
      <c r="L33" s="43">
        <v>17913826</v>
      </c>
      <c r="M33" s="42" t="s">
        <v>25</v>
      </c>
      <c r="N33" s="43">
        <v>2172834233</v>
      </c>
      <c r="O33" s="42" t="s">
        <v>25</v>
      </c>
      <c r="P33" s="43">
        <v>347864398.1099999</v>
      </c>
      <c r="Q33" s="42" t="s">
        <v>25</v>
      </c>
      <c r="R33" s="43">
        <v>5005884123</v>
      </c>
      <c r="S33" s="42" t="s">
        <v>25</v>
      </c>
      <c r="T33" s="43">
        <v>369909928</v>
      </c>
      <c r="U33" s="42" t="s">
        <v>25</v>
      </c>
      <c r="V33" s="43">
        <v>887620794.54999995</v>
      </c>
      <c r="W33" s="42" t="s">
        <v>25</v>
      </c>
      <c r="X33" s="43">
        <v>13753722</v>
      </c>
      <c r="Y33" s="19"/>
    </row>
    <row r="34" spans="1:25" s="18" customFormat="1" ht="15" customHeight="1" x14ac:dyDescent="0.3">
      <c r="C34" s="40"/>
      <c r="D34" s="41"/>
      <c r="E34" s="42"/>
      <c r="F34" s="44"/>
      <c r="G34" s="45"/>
      <c r="H34" s="44"/>
      <c r="I34" s="45"/>
      <c r="J34" s="44"/>
      <c r="K34" s="45"/>
      <c r="L34" s="44"/>
      <c r="M34" s="45"/>
      <c r="N34" s="44"/>
      <c r="O34" s="42"/>
      <c r="P34" s="44"/>
      <c r="Q34" s="44"/>
      <c r="R34" s="44"/>
      <c r="S34" s="45"/>
      <c r="T34" s="46"/>
      <c r="U34" s="45"/>
      <c r="V34" s="46"/>
      <c r="W34" s="45"/>
      <c r="X34" s="46"/>
      <c r="Y34" s="19"/>
    </row>
    <row r="35" spans="1:25" s="18" customFormat="1" ht="24" customHeight="1" x14ac:dyDescent="0.3">
      <c r="C35" s="40"/>
      <c r="D35" s="47" t="s">
        <v>26</v>
      </c>
      <c r="E35" s="42"/>
      <c r="F35" s="68">
        <f>X35+V35+T35+R35+P35+N35+H35+J35+L35</f>
        <v>0</v>
      </c>
      <c r="G35" s="45"/>
      <c r="H35" s="44">
        <v>-154609582</v>
      </c>
      <c r="I35" s="45"/>
      <c r="J35" s="44"/>
      <c r="K35" s="45"/>
      <c r="L35" s="44"/>
      <c r="M35" s="45"/>
      <c r="N35" s="44"/>
      <c r="O35" s="42"/>
      <c r="P35" s="44">
        <v>154609582</v>
      </c>
      <c r="Q35" s="44"/>
      <c r="R35" s="44"/>
      <c r="S35" s="45"/>
      <c r="T35" s="46"/>
      <c r="U35" s="45"/>
      <c r="V35" s="46"/>
      <c r="W35" s="45"/>
      <c r="X35" s="46"/>
      <c r="Y35" s="19"/>
    </row>
    <row r="36" spans="1:25" s="18" customFormat="1" ht="24" hidden="1" customHeight="1" x14ac:dyDescent="0.3">
      <c r="C36" s="40"/>
      <c r="D36" s="47" t="s">
        <v>27</v>
      </c>
      <c r="E36" s="42"/>
      <c r="F36" s="48">
        <f>X36+V36+T36+R36+P36+N36+H36+J36+L36</f>
        <v>0</v>
      </c>
      <c r="G36" s="49"/>
      <c r="H36" s="48"/>
      <c r="I36" s="49"/>
      <c r="J36" s="48"/>
      <c r="K36" s="49"/>
      <c r="L36" s="48"/>
      <c r="M36" s="49"/>
      <c r="N36" s="48"/>
      <c r="O36" s="50"/>
      <c r="P36" s="48"/>
      <c r="Q36" s="48"/>
      <c r="R36" s="48"/>
      <c r="S36" s="49"/>
      <c r="T36" s="51"/>
      <c r="U36" s="49"/>
      <c r="V36" s="48"/>
      <c r="W36" s="49"/>
      <c r="X36" s="51"/>
      <c r="Y36" s="19"/>
    </row>
    <row r="37" spans="1:25" s="18" customFormat="1" ht="24" customHeight="1" x14ac:dyDescent="0.3">
      <c r="C37" s="40"/>
      <c r="D37" s="41" t="s">
        <v>28</v>
      </c>
      <c r="E37" s="42"/>
      <c r="F37" s="52">
        <f>X37+V37+T37+R37+P37+N37+H37+J37+L37</f>
        <v>2225709</v>
      </c>
      <c r="G37" s="49"/>
      <c r="H37" s="52"/>
      <c r="I37" s="49"/>
      <c r="J37" s="48"/>
      <c r="K37" s="49"/>
      <c r="L37" s="48"/>
      <c r="M37" s="49"/>
      <c r="N37" s="48">
        <v>2554256</v>
      </c>
      <c r="O37" s="50"/>
      <c r="P37" s="48">
        <v>-756031</v>
      </c>
      <c r="Q37" s="48"/>
      <c r="R37" s="48"/>
      <c r="S37" s="49"/>
      <c r="T37" s="51"/>
      <c r="U37" s="49"/>
      <c r="V37" s="48">
        <v>427484</v>
      </c>
      <c r="W37" s="49"/>
      <c r="X37" s="51"/>
      <c r="Y37" s="19"/>
    </row>
    <row r="38" spans="1:25" s="18" customFormat="1" ht="24" customHeight="1" x14ac:dyDescent="0.3">
      <c r="C38" s="53"/>
      <c r="D38" s="41" t="s">
        <v>29</v>
      </c>
      <c r="E38" s="42"/>
      <c r="F38" s="48">
        <f>X38+V38+T38+R38+P38+N38+H38+J38+L38</f>
        <v>-12887967</v>
      </c>
      <c r="G38" s="48"/>
      <c r="H38" s="48"/>
      <c r="I38" s="54"/>
      <c r="J38" s="48"/>
      <c r="K38" s="54"/>
      <c r="L38" s="48"/>
      <c r="M38" s="48"/>
      <c r="N38" s="48">
        <v>-15588158</v>
      </c>
      <c r="O38" s="54"/>
      <c r="P38" s="48"/>
      <c r="Q38" s="48"/>
      <c r="R38" s="48"/>
      <c r="S38" s="54"/>
      <c r="T38" s="48"/>
      <c r="U38" s="54"/>
      <c r="V38" s="48">
        <v>2700191</v>
      </c>
      <c r="W38" s="54"/>
      <c r="X38" s="48"/>
      <c r="Y38" s="19"/>
    </row>
    <row r="39" spans="1:25" s="18" customFormat="1" ht="24" customHeight="1" x14ac:dyDescent="0.3">
      <c r="C39" s="53"/>
      <c r="D39" s="41" t="s">
        <v>30</v>
      </c>
      <c r="E39" s="42"/>
      <c r="F39" s="52">
        <f t="shared" ref="F39:F42" si="1">X39+V39+T39+R39+P39+N39+H39+J39+L39</f>
        <v>578406696</v>
      </c>
      <c r="G39" s="48"/>
      <c r="H39" s="48">
        <v>84209670</v>
      </c>
      <c r="I39" s="48"/>
      <c r="J39" s="48">
        <v>43435113</v>
      </c>
      <c r="K39" s="48"/>
      <c r="L39" s="48">
        <v>2773810</v>
      </c>
      <c r="M39" s="48"/>
      <c r="N39" s="48">
        <v>-124180678</v>
      </c>
      <c r="O39" s="54"/>
      <c r="P39" s="48">
        <v>-156098951</v>
      </c>
      <c r="Q39" s="48"/>
      <c r="R39" s="48">
        <v>710078107</v>
      </c>
      <c r="S39" s="54"/>
      <c r="T39" s="48">
        <v>12072792</v>
      </c>
      <c r="U39" s="54"/>
      <c r="V39" s="48">
        <v>5766517</v>
      </c>
      <c r="W39" s="54"/>
      <c r="X39" s="48">
        <v>350316</v>
      </c>
      <c r="Y39" s="19"/>
    </row>
    <row r="40" spans="1:25" s="18" customFormat="1" ht="24" hidden="1" customHeight="1" x14ac:dyDescent="0.3">
      <c r="C40" s="53"/>
      <c r="D40" s="56" t="s">
        <v>31</v>
      </c>
      <c r="E40" s="42"/>
      <c r="F40" s="48">
        <f t="shared" si="1"/>
        <v>0</v>
      </c>
      <c r="G40" s="48"/>
      <c r="H40" s="48"/>
      <c r="I40" s="48"/>
      <c r="J40" s="48"/>
      <c r="K40" s="48"/>
      <c r="L40" s="48"/>
      <c r="M40" s="48"/>
      <c r="N40" s="48"/>
      <c r="O40" s="54"/>
      <c r="P40" s="48"/>
      <c r="Q40" s="48"/>
      <c r="R40" s="48"/>
      <c r="S40" s="54"/>
      <c r="T40" s="48"/>
      <c r="U40" s="54"/>
      <c r="V40" s="48"/>
      <c r="W40" s="54"/>
      <c r="X40" s="48"/>
      <c r="Y40" s="19"/>
    </row>
    <row r="41" spans="1:25" s="18" customFormat="1" ht="22.5" customHeight="1" x14ac:dyDescent="0.25">
      <c r="C41" s="57"/>
      <c r="D41" s="41" t="s">
        <v>32</v>
      </c>
      <c r="F41" s="48">
        <f t="shared" si="1"/>
        <v>5750315</v>
      </c>
      <c r="G41" s="48"/>
      <c r="H41" s="48">
        <v>5427</v>
      </c>
      <c r="I41" s="48"/>
      <c r="J41" s="48"/>
      <c r="K41" s="48"/>
      <c r="L41" s="48"/>
      <c r="M41" s="48"/>
      <c r="N41" s="48"/>
      <c r="O41" s="54"/>
      <c r="P41" s="48">
        <v>5744888</v>
      </c>
      <c r="Q41" s="48"/>
      <c r="R41" s="48"/>
      <c r="S41" s="54"/>
      <c r="T41" s="48"/>
      <c r="U41" s="54"/>
      <c r="V41" s="48"/>
      <c r="W41" s="54"/>
      <c r="X41" s="48"/>
      <c r="Y41" s="19"/>
    </row>
    <row r="42" spans="1:25" s="18" customFormat="1" ht="24" customHeight="1" x14ac:dyDescent="0.3">
      <c r="C42" s="53"/>
      <c r="D42" s="58" t="s">
        <v>33</v>
      </c>
      <c r="E42" s="42"/>
      <c r="F42" s="59">
        <f t="shared" si="1"/>
        <v>13462862</v>
      </c>
      <c r="G42" s="48"/>
      <c r="H42" s="52">
        <v>257187</v>
      </c>
      <c r="I42" s="48"/>
      <c r="J42" s="59">
        <v>-143057</v>
      </c>
      <c r="K42" s="54"/>
      <c r="L42" s="59">
        <v>-10767</v>
      </c>
      <c r="M42" s="48"/>
      <c r="N42" s="59">
        <v>9660927</v>
      </c>
      <c r="O42" s="54"/>
      <c r="P42" s="59">
        <v>596683</v>
      </c>
      <c r="Q42" s="48"/>
      <c r="R42" s="59">
        <v>16114</v>
      </c>
      <c r="S42" s="54"/>
      <c r="T42" s="59"/>
      <c r="U42" s="54"/>
      <c r="V42" s="60">
        <v>3085775</v>
      </c>
      <c r="W42" s="54"/>
      <c r="X42" s="59"/>
      <c r="Y42" s="19"/>
    </row>
    <row r="43" spans="1:25" s="18" customFormat="1" ht="24" customHeight="1" x14ac:dyDescent="0.3">
      <c r="C43" s="53"/>
      <c r="E43" s="42"/>
      <c r="F43" s="61"/>
      <c r="G43" s="45"/>
      <c r="H43" s="62"/>
      <c r="I43" s="45"/>
      <c r="J43" s="62"/>
      <c r="K43" s="45"/>
      <c r="L43" s="62"/>
      <c r="M43" s="45"/>
      <c r="N43" s="61"/>
      <c r="O43" s="42"/>
      <c r="P43" s="61"/>
      <c r="Q43" s="61"/>
      <c r="R43" s="61"/>
      <c r="S43" s="45"/>
      <c r="T43" s="61"/>
      <c r="U43" s="45"/>
      <c r="V43" s="61"/>
      <c r="W43" s="45"/>
      <c r="X43" s="61"/>
      <c r="Y43" s="19"/>
    </row>
    <row r="44" spans="1:25" s="18" customFormat="1" ht="24" customHeight="1" thickBot="1" x14ac:dyDescent="0.35">
      <c r="C44" s="63" t="s">
        <v>36</v>
      </c>
      <c r="E44" s="42" t="s">
        <v>25</v>
      </c>
      <c r="F44" s="64">
        <f>X44+V44+T44+R44+P44+N44+J44+L44+H44</f>
        <v>10135706782.66</v>
      </c>
      <c r="G44" s="42" t="s">
        <v>25</v>
      </c>
      <c r="H44" s="65">
        <f>SUM(H33:H42)</f>
        <v>403974723</v>
      </c>
      <c r="I44" s="42" t="s">
        <v>25</v>
      </c>
      <c r="J44" s="66">
        <f>SUM(J33:J42)</f>
        <v>302148178</v>
      </c>
      <c r="K44" s="42" t="s">
        <v>25</v>
      </c>
      <c r="L44" s="65">
        <f>SUM(L33:L42)</f>
        <v>20676869</v>
      </c>
      <c r="M44" s="50" t="s">
        <v>25</v>
      </c>
      <c r="N44" s="65">
        <f>SUM(N33:N42)</f>
        <v>2045280580</v>
      </c>
      <c r="O44" s="50" t="s">
        <v>25</v>
      </c>
      <c r="P44" s="65">
        <f>SUM(P33:P42)</f>
        <v>351960569.1099999</v>
      </c>
      <c r="Q44" s="42" t="s">
        <v>25</v>
      </c>
      <c r="R44" s="66">
        <f>SUM(R33:R42)</f>
        <v>5715978344</v>
      </c>
      <c r="S44" s="42" t="s">
        <v>25</v>
      </c>
      <c r="T44" s="66">
        <f>SUM(T33:T42)</f>
        <v>381982720</v>
      </c>
      <c r="U44" s="42" t="s">
        <v>25</v>
      </c>
      <c r="V44" s="66">
        <f>SUM(V33:V42)</f>
        <v>899600761.54999995</v>
      </c>
      <c r="W44" s="42" t="s">
        <v>25</v>
      </c>
      <c r="X44" s="66">
        <f>SUM(X33:X42)</f>
        <v>14104038</v>
      </c>
      <c r="Y44" s="19"/>
    </row>
    <row r="45" spans="1:25" s="18" customFormat="1" ht="21" thickTop="1" x14ac:dyDescent="0.3">
      <c r="C45" s="53"/>
      <c r="E45" s="42"/>
      <c r="F45" s="43"/>
      <c r="G45" s="42"/>
      <c r="H45" s="43"/>
      <c r="I45" s="42"/>
      <c r="J45" s="43"/>
      <c r="K45" s="42"/>
      <c r="L45" s="43"/>
      <c r="M45" s="42"/>
      <c r="N45" s="43"/>
      <c r="O45" s="42"/>
      <c r="P45" s="43"/>
      <c r="Q45" s="43"/>
      <c r="R45" s="43"/>
      <c r="S45" s="42"/>
      <c r="T45" s="45"/>
      <c r="U45" s="42"/>
      <c r="V45" s="45"/>
      <c r="W45" s="42"/>
      <c r="X45" s="45"/>
      <c r="Y45" s="19"/>
    </row>
    <row r="46" spans="1:25" s="18" customFormat="1" ht="15.75" customHeight="1" x14ac:dyDescent="0.3">
      <c r="C46" s="53"/>
      <c r="E46" s="42"/>
      <c r="F46" s="44"/>
      <c r="G46" s="42"/>
      <c r="H46" s="69"/>
      <c r="I46" s="70"/>
      <c r="J46" s="69"/>
      <c r="K46" s="69"/>
      <c r="L46" s="69"/>
      <c r="M46" s="69"/>
      <c r="N46" s="69"/>
      <c r="O46" s="70"/>
      <c r="P46" s="71"/>
      <c r="Q46" s="71"/>
      <c r="R46" s="71"/>
      <c r="S46" s="69"/>
      <c r="T46" s="69"/>
      <c r="U46" s="69"/>
      <c r="V46" s="69"/>
      <c r="W46" s="69"/>
      <c r="X46" s="69"/>
      <c r="Y46" s="19"/>
    </row>
    <row r="47" spans="1:25" s="18" customFormat="1" ht="15" x14ac:dyDescent="0.2">
      <c r="C47" s="72"/>
      <c r="D47" s="73"/>
      <c r="E47" s="73"/>
      <c r="F47" s="74"/>
      <c r="G47" s="73"/>
      <c r="H47" s="74"/>
      <c r="I47" s="73"/>
      <c r="J47" s="74"/>
      <c r="K47" s="73"/>
      <c r="L47" s="74"/>
      <c r="M47" s="73"/>
      <c r="N47" s="74"/>
      <c r="O47" s="73"/>
      <c r="P47" s="74"/>
      <c r="Q47" s="74"/>
      <c r="R47" s="74"/>
      <c r="S47" s="73"/>
      <c r="T47" s="74"/>
      <c r="U47" s="73"/>
      <c r="V47" s="74"/>
      <c r="W47" s="73"/>
      <c r="X47" s="74"/>
      <c r="Y47" s="75"/>
    </row>
    <row r="48" spans="1:25" s="18" customFormat="1" ht="15" x14ac:dyDescent="0.2">
      <c r="F48" s="20"/>
      <c r="H48" s="20"/>
      <c r="J48" s="20"/>
      <c r="L48" s="20"/>
      <c r="N48" s="20"/>
      <c r="P48" s="20"/>
      <c r="Q48" s="20"/>
      <c r="R48" s="20"/>
      <c r="T48" s="20"/>
      <c r="V48" s="20"/>
      <c r="X48" s="20"/>
    </row>
    <row r="49" spans="3:27" ht="19.5" customHeight="1" x14ac:dyDescent="0.25">
      <c r="C49" s="76" t="s">
        <v>37</v>
      </c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</row>
    <row r="50" spans="3:27" ht="65.099999999999994" customHeight="1" x14ac:dyDescent="0.25">
      <c r="C50" s="76"/>
      <c r="D50" s="77"/>
      <c r="E50" s="77"/>
      <c r="F50" s="44"/>
      <c r="G50" s="77"/>
      <c r="H50" s="77"/>
      <c r="I50" s="77"/>
      <c r="J50" s="77"/>
      <c r="K50" s="77"/>
      <c r="L50" s="77"/>
      <c r="M50" s="77"/>
      <c r="N50" s="77"/>
      <c r="O50" s="77"/>
      <c r="P50" s="44"/>
      <c r="Q50" s="77"/>
      <c r="R50" s="77"/>
      <c r="S50" s="77"/>
      <c r="T50" s="77"/>
      <c r="U50" s="77"/>
      <c r="V50" s="77"/>
      <c r="W50" s="77"/>
      <c r="X50" s="77"/>
      <c r="Y50" s="77"/>
    </row>
    <row r="51" spans="3:27" ht="65.099999999999994" customHeight="1" x14ac:dyDescent="0.25">
      <c r="C51" s="76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44"/>
      <c r="Q51" s="77"/>
      <c r="R51" s="77"/>
      <c r="S51" s="77"/>
      <c r="T51" s="77"/>
      <c r="U51" s="77"/>
      <c r="V51" s="77"/>
      <c r="W51" s="77"/>
      <c r="X51" s="77"/>
      <c r="Y51" s="77"/>
    </row>
    <row r="52" spans="3:27" ht="65.099999999999994" customHeight="1" x14ac:dyDescent="0.25">
      <c r="C52" s="76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</row>
    <row r="53" spans="3:27" ht="65.099999999999994" customHeight="1" x14ac:dyDescent="0.25">
      <c r="C53" s="76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</row>
    <row r="54" spans="3:27" ht="65.099999999999994" customHeight="1" x14ac:dyDescent="0.25">
      <c r="C54" s="76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</row>
    <row r="55" spans="3:27" ht="22.5" x14ac:dyDescent="0.35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</row>
    <row r="56" spans="3:27" ht="19.5" x14ac:dyDescent="0.3">
      <c r="AA56" s="67"/>
    </row>
    <row r="57" spans="3:27" ht="19.5" x14ac:dyDescent="0.3">
      <c r="AA57" s="67"/>
    </row>
    <row r="58" spans="3:27" ht="19.5" x14ac:dyDescent="0.3">
      <c r="AA58" s="67"/>
    </row>
    <row r="59" spans="3:27" ht="19.5" x14ac:dyDescent="0.3">
      <c r="AA59" s="67"/>
    </row>
    <row r="97" spans="8:12" x14ac:dyDescent="0.25">
      <c r="H97" s="1">
        <f>+H67+H70+H71+H75+H74+H76+H77+H81+H80-H84-H85-H91-H87-H88-H92-H90+H73</f>
        <v>0</v>
      </c>
      <c r="J97" s="1">
        <f>+J67+J70+J71+J75+J74+J76+J77+J81+J80-J84-J85-J91-J87-J88-J92-J90+J73</f>
        <v>0</v>
      </c>
      <c r="L97" s="1">
        <f>+L67+L70+L71+L75+L74+L76+L77+L81+L80-L84-L85-L91-L87-L88-L92-L90+L73</f>
        <v>0</v>
      </c>
    </row>
  </sheetData>
  <mergeCells count="5">
    <mergeCell ref="F9:F11"/>
    <mergeCell ref="H9:L11"/>
    <mergeCell ref="N9:N11"/>
    <mergeCell ref="P9:T11"/>
    <mergeCell ref="V10:X11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025" r:id="rId3">
          <objectPr defaultSize="0" autoPict="0" r:id="rId4">
            <anchor moveWithCells="1" sizeWithCells="1">
              <from>
                <xdr:col>23</xdr:col>
                <xdr:colOff>704850</xdr:colOff>
                <xdr:row>53</xdr:row>
                <xdr:rowOff>247650</xdr:rowOff>
              </from>
              <to>
                <xdr:col>23</xdr:col>
                <xdr:colOff>1085850</xdr:colOff>
                <xdr:row>53</xdr:row>
                <xdr:rowOff>628650</xdr:rowOff>
              </to>
            </anchor>
          </objectPr>
        </oleObject>
      </mc:Choice>
      <mc:Fallback>
        <oleObject progId="MSDraw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BAL COMPARATIVO</vt:lpstr>
      <vt:lpstr>BAL POR FONDOS</vt:lpstr>
      <vt:lpstr>BALANCE GENRAL IVM</vt:lpstr>
      <vt:lpstr>EST RESULTADO POR RIESGO</vt:lpstr>
      <vt:lpstr>CAMBIO DE PATRIMONIO</vt:lpstr>
    </vt:vector>
  </TitlesOfParts>
  <Company>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Cruz, Naila</dc:creator>
  <cp:lastModifiedBy>Gonzalez, Zaida</cp:lastModifiedBy>
  <dcterms:created xsi:type="dcterms:W3CDTF">2024-08-30T14:13:35Z</dcterms:created>
  <dcterms:modified xsi:type="dcterms:W3CDTF">2024-09-02T19:30:30Z</dcterms:modified>
</cp:coreProperties>
</file>