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-120" yWindow="-120" windowWidth="24240" windowHeight="13140" tabRatio="975" firstSheet="2" activeTab="7"/>
  </bookViews>
  <sheets>
    <sheet name="RESUMEN " sheetId="265" state="hidden" r:id="rId1"/>
    <sheet name="VENC. " sheetId="263" state="hidden" r:id="rId2"/>
    <sheet name="ADMINISTRACIÓN" sheetId="272" r:id="rId3"/>
    <sheet name="SERV CONTABILIDAD" sheetId="273" r:id="rId4"/>
    <sheet name="SEGUROS" sheetId="267" r:id="rId5"/>
    <sheet name="ENF Y MATERNIDAD" sheetId="268" r:id="rId6"/>
    <sheet name="IVM EXCLUSIVO" sheetId="269" r:id="rId7"/>
    <sheet name="MIXTO AHORRO Y B. DEFINIDO" sheetId="270" r:id="rId8"/>
    <sheet name="R. PROFESIONALES" sheetId="271" r:id="rId9"/>
    <sheet name="FIDEICOMISOS  " sheetId="275" state="hidden" r:id="rId10"/>
    <sheet name="CENTRO DE PRESTAMO" sheetId="262" state="hidden" r:id="rId11"/>
    <sheet name="Bca linea - Vigente" sheetId="278" state="hidden" r:id="rId12"/>
    <sheet name="Hoja2" sheetId="280" state="hidden" r:id="rId13"/>
  </sheets>
  <definedNames>
    <definedName name="_xlnm._FilterDatabase" localSheetId="2" hidden="1">ADMINISTRACIÓN!$I$8:$I$59</definedName>
    <definedName name="_xlnm._FilterDatabase" localSheetId="11" hidden="1">'Bca linea - Vigente'!$E$3:$F$3</definedName>
    <definedName name="_xlnm._FilterDatabase" localSheetId="10" hidden="1">'CENTRO DE PRESTAMO'!$B$2:$G$14</definedName>
    <definedName name="_xlnm._FilterDatabase" localSheetId="5" hidden="1">'ENF Y MATERNIDAD'!$B$6:$J$7</definedName>
    <definedName name="_xlnm._FilterDatabase" localSheetId="6" hidden="1">'IVM EXCLUSIVO'!$I$8:$I$30</definedName>
    <definedName name="_xlnm._FilterDatabase" localSheetId="7" hidden="1">'MIXTO AHORRO Y B. DEFINIDO'!$I$8:$I$133</definedName>
    <definedName name="_xlnm._FilterDatabase" localSheetId="8" hidden="1">'R. PROFESIONALES'!$I$7:$I$22</definedName>
    <definedName name="_xlnm._FilterDatabase" localSheetId="4" hidden="1">SEGUROS!$I$9:$I$66</definedName>
    <definedName name="_xlnm._FilterDatabase" localSheetId="3" hidden="1">'SERV CONTABILIDAD'!$I$9:$I$11</definedName>
    <definedName name="_xlnm._FilterDatabase" localSheetId="1" hidden="1">'VENC. '!$B$1:$I$12</definedName>
    <definedName name="_Regression_Int" localSheetId="2" hidden="1">1</definedName>
    <definedName name="_Regression_Int" localSheetId="10" hidden="1">1</definedName>
    <definedName name="_Regression_Int" localSheetId="5" hidden="1">1</definedName>
    <definedName name="_Regression_Int" localSheetId="9" hidden="1">1</definedName>
    <definedName name="_Regression_Int" localSheetId="6" hidden="1">1</definedName>
    <definedName name="_Regression_Int" localSheetId="7" hidden="1">1</definedName>
    <definedName name="_Regression_Int" localSheetId="8" hidden="1">1</definedName>
    <definedName name="_Regression_Int" localSheetId="0" hidden="1">1</definedName>
    <definedName name="_Regression_Int" localSheetId="4" hidden="1">1</definedName>
    <definedName name="_Regression_Int" localSheetId="3" hidden="1">1</definedName>
    <definedName name="_Regression_Int" localSheetId="1" hidden="1">1</definedName>
    <definedName name="A_impresión_IM" localSheetId="2">ADMINISTRACIÓN!$B$2:$J$69</definedName>
    <definedName name="A_impresión_IM" localSheetId="10">'CENTRO DE PRESTAMO'!$B$7:$G$11</definedName>
    <definedName name="A_impresión_IM" localSheetId="5">'ENF Y MATERNIDAD'!$B$2:$J$92</definedName>
    <definedName name="A_impresión_IM" localSheetId="9">'FIDEICOMISOS  '!$B$2:$G$11</definedName>
    <definedName name="A_impresión_IM" localSheetId="6">'IVM EXCLUSIVO'!$B$2:$J$34</definedName>
    <definedName name="A_impresión_IM" localSheetId="7">'MIXTO AHORRO Y B. DEFINIDO'!$B$2:$J$147</definedName>
    <definedName name="A_impresión_IM" localSheetId="8">'R. PROFESIONALES'!$B$2:$J$24</definedName>
    <definedName name="A_impresión_IM" localSheetId="0">'RESUMEN '!$B$2:$K$37</definedName>
    <definedName name="A_impresión_IM" localSheetId="4">SEGUROS!$B$2:$J$69</definedName>
    <definedName name="A_impresión_IM" localSheetId="3">'SERV CONTABILIDAD'!$B$2:$J$35</definedName>
    <definedName name="A_impresión_IM" localSheetId="1">'VENC. '!$B$2:$H$272</definedName>
    <definedName name="A_impresión_IM">#REF!</definedName>
    <definedName name="_xlnm.Print_Area" localSheetId="2">ADMINISTRACIÓN!$B$1:$J$69</definedName>
    <definedName name="_xlnm.Print_Area" localSheetId="10">'CENTRO DE PRESTAMO'!$B$1:$G$14</definedName>
    <definedName name="_xlnm.Print_Area" localSheetId="5">'ENF Y MATERNIDAD'!$B$1:$J$92</definedName>
    <definedName name="_xlnm.Print_Area" localSheetId="9">'FIDEICOMISOS  '!$B$3:$G$17</definedName>
    <definedName name="_xlnm.Print_Area" localSheetId="6">'IVM EXCLUSIVO'!$B$1:$J$34</definedName>
    <definedName name="_xlnm.Print_Area" localSheetId="7">'MIXTO AHORRO Y B. DEFINIDO'!$B$1:$J$147</definedName>
    <definedName name="_xlnm.Print_Area" localSheetId="8">'R. PROFESIONALES'!$B$1:$M$22</definedName>
    <definedName name="_xlnm.Print_Area" localSheetId="0">'RESUMEN '!$B$1:$M$45</definedName>
    <definedName name="_xlnm.Print_Area" localSheetId="4">SEGUROS!$B$1:$J$69</definedName>
    <definedName name="_xlnm.Print_Area" localSheetId="3">'SERV CONTABILIDAD'!$B$1:$K$34</definedName>
    <definedName name="_xlnm.Print_Area" localSheetId="1">'VENC. '!$B$1:$H$278</definedName>
    <definedName name="_xlnm.Print_Titles" localSheetId="2">ADMINISTRACIÓN!$1:$7</definedName>
    <definedName name="_xlnm.Print_Titles" localSheetId="10">'CENTRO DE PRESTAMO'!$1:$6</definedName>
    <definedName name="_xlnm.Print_Titles" localSheetId="5">'ENF Y MATERNIDAD'!$1:$7</definedName>
    <definedName name="_xlnm.Print_Titles" localSheetId="9">'FIDEICOMISOS  '!$1:$6</definedName>
    <definedName name="_xlnm.Print_Titles" localSheetId="6">'IVM EXCLUSIVO'!$1:$7</definedName>
    <definedName name="_xlnm.Print_Titles" localSheetId="7">'MIXTO AHORRO Y B. DEFINIDO'!$1:$7</definedName>
    <definedName name="_xlnm.Print_Titles" localSheetId="8">'R. PROFESIONALES'!$1:$6</definedName>
    <definedName name="_xlnm.Print_Titles" localSheetId="0">'RESUMEN '!$2:$7</definedName>
    <definedName name="_xlnm.Print_Titles" localSheetId="4">SEGUROS!$1:$8</definedName>
    <definedName name="_xlnm.Print_Titles" localSheetId="3">'SERV CONTABILIDAD'!$1:$8</definedName>
    <definedName name="_xlnm.Print_Titles" localSheetId="1">'VENC. '!$1:$5</definedName>
  </definedNames>
  <calcPr calcId="144525" fullPrecision="0"/>
</workbook>
</file>

<file path=xl/calcChain.xml><?xml version="1.0" encoding="utf-8"?>
<calcChain xmlns="http://schemas.openxmlformats.org/spreadsheetml/2006/main">
  <c r="G91" i="268" l="1"/>
  <c r="G68" i="267"/>
  <c r="G69" i="267"/>
  <c r="J66" i="270"/>
  <c r="J64" i="270"/>
  <c r="J60" i="270"/>
  <c r="N66" i="270"/>
  <c r="N64" i="270"/>
  <c r="N60" i="270"/>
  <c r="N57" i="270"/>
  <c r="J57" i="270" s="1"/>
  <c r="H7" i="271" l="1"/>
  <c r="F7" i="271" s="1"/>
  <c r="N7" i="271"/>
  <c r="J7" i="271" s="1"/>
  <c r="J146" i="270"/>
  <c r="J144" i="270"/>
  <c r="J139" i="270"/>
  <c r="J136" i="270"/>
  <c r="J132" i="270"/>
  <c r="F137" i="270" l="1"/>
  <c r="F135" i="270"/>
  <c r="F134" i="270"/>
  <c r="H147" i="270"/>
  <c r="H146" i="270" s="1"/>
  <c r="H145" i="270"/>
  <c r="H144" i="270" s="1"/>
  <c r="H143" i="270"/>
  <c r="H142" i="270"/>
  <c r="H141" i="270"/>
  <c r="H140" i="270"/>
  <c r="H138" i="270"/>
  <c r="H137" i="270"/>
  <c r="H136" i="270" s="1"/>
  <c r="H135" i="270"/>
  <c r="H134" i="270"/>
  <c r="H132" i="270" s="1"/>
  <c r="F122" i="270"/>
  <c r="F119" i="270"/>
  <c r="H119" i="270" s="1"/>
  <c r="F117" i="270"/>
  <c r="H117" i="270" s="1"/>
  <c r="F111" i="270"/>
  <c r="F109" i="270"/>
  <c r="F108" i="270"/>
  <c r="H108" i="270" s="1"/>
  <c r="F101" i="270"/>
  <c r="H101" i="270" s="1"/>
  <c r="F100" i="270"/>
  <c r="H100" i="270" s="1"/>
  <c r="F98" i="270"/>
  <c r="H98" i="270" s="1"/>
  <c r="H129" i="270"/>
  <c r="H128" i="270"/>
  <c r="H127" i="270"/>
  <c r="H126" i="270"/>
  <c r="H125" i="270"/>
  <c r="H124" i="270"/>
  <c r="H123" i="270"/>
  <c r="H122" i="270"/>
  <c r="H121" i="270"/>
  <c r="H120" i="270"/>
  <c r="H118" i="270"/>
  <c r="H116" i="270"/>
  <c r="H115" i="270"/>
  <c r="H114" i="270"/>
  <c r="H113" i="270"/>
  <c r="H112" i="270"/>
  <c r="H111" i="270"/>
  <c r="H110" i="270"/>
  <c r="H109" i="270"/>
  <c r="H107" i="270"/>
  <c r="H106" i="270"/>
  <c r="H105" i="270"/>
  <c r="H104" i="270"/>
  <c r="H103" i="270"/>
  <c r="H102" i="270"/>
  <c r="H99" i="270"/>
  <c r="H97" i="270"/>
  <c r="H94" i="270"/>
  <c r="H93" i="270"/>
  <c r="H92" i="270"/>
  <c r="H85" i="270"/>
  <c r="H84" i="270"/>
  <c r="H76" i="270"/>
  <c r="H75" i="270"/>
  <c r="H74" i="270"/>
  <c r="H73" i="270"/>
  <c r="H72" i="270"/>
  <c r="H71" i="270"/>
  <c r="F86" i="270"/>
  <c r="H86" i="270" s="1"/>
  <c r="F83" i="270"/>
  <c r="H83" i="270" s="1"/>
  <c r="F82" i="270"/>
  <c r="H82" i="270" s="1"/>
  <c r="F81" i="270"/>
  <c r="H81" i="270" s="1"/>
  <c r="F80" i="270"/>
  <c r="H80" i="270" s="1"/>
  <c r="F79" i="270"/>
  <c r="H79" i="270" s="1"/>
  <c r="F78" i="270"/>
  <c r="H78" i="270" s="1"/>
  <c r="F77" i="270"/>
  <c r="H77" i="270" s="1"/>
  <c r="H139" i="270" l="1"/>
  <c r="H96" i="270"/>
  <c r="H91" i="270"/>
  <c r="H131" i="270"/>
  <c r="F65" i="270"/>
  <c r="F63" i="270"/>
  <c r="H63" i="270" s="1"/>
  <c r="F62" i="270"/>
  <c r="H62" i="270" s="1"/>
  <c r="F61" i="270"/>
  <c r="H61" i="270" s="1"/>
  <c r="F59" i="270"/>
  <c r="H59" i="270" s="1"/>
  <c r="F58" i="270"/>
  <c r="H58" i="270" s="1"/>
  <c r="F46" i="270"/>
  <c r="H46" i="270" s="1"/>
  <c r="F43" i="270"/>
  <c r="F42" i="270"/>
  <c r="F41" i="270"/>
  <c r="F40" i="270"/>
  <c r="H40" i="270" s="1"/>
  <c r="F38" i="270"/>
  <c r="H38" i="270" s="1"/>
  <c r="F37" i="270"/>
  <c r="F36" i="270"/>
  <c r="F33" i="270"/>
  <c r="F31" i="270"/>
  <c r="H31" i="270" s="1"/>
  <c r="F30" i="270"/>
  <c r="H30" i="270" s="1"/>
  <c r="F29" i="270"/>
  <c r="F28" i="270"/>
  <c r="H28" i="270" s="1"/>
  <c r="F27" i="270"/>
  <c r="H27" i="270" s="1"/>
  <c r="H67" i="270"/>
  <c r="H66" i="270" s="1"/>
  <c r="H65" i="270"/>
  <c r="H64" i="270" s="1"/>
  <c r="H54" i="270"/>
  <c r="H53" i="270"/>
  <c r="H52" i="270"/>
  <c r="H51" i="270"/>
  <c r="H50" i="270"/>
  <c r="H49" i="270"/>
  <c r="H48" i="270"/>
  <c r="H47" i="270"/>
  <c r="H45" i="270"/>
  <c r="H44" i="270"/>
  <c r="H43" i="270"/>
  <c r="H42" i="270"/>
  <c r="H41" i="270"/>
  <c r="H39" i="270"/>
  <c r="H37" i="270"/>
  <c r="H36" i="270"/>
  <c r="H35" i="270"/>
  <c r="H34" i="270"/>
  <c r="H33" i="270"/>
  <c r="H32" i="270"/>
  <c r="H29" i="270"/>
  <c r="H12" i="270"/>
  <c r="H20" i="270"/>
  <c r="H11" i="270"/>
  <c r="F24" i="270"/>
  <c r="F23" i="270"/>
  <c r="F22" i="270"/>
  <c r="H22" i="270" s="1"/>
  <c r="F21" i="270"/>
  <c r="H21" i="270" s="1"/>
  <c r="F19" i="270"/>
  <c r="H19" i="270" s="1"/>
  <c r="F18" i="270"/>
  <c r="H18" i="270" s="1"/>
  <c r="F17" i="270"/>
  <c r="H17" i="270" s="1"/>
  <c r="F16" i="270"/>
  <c r="H16" i="270" s="1"/>
  <c r="F15" i="270"/>
  <c r="H15" i="270" s="1"/>
  <c r="F14" i="270"/>
  <c r="H14" i="270" s="1"/>
  <c r="F13" i="270"/>
  <c r="H13" i="270" s="1"/>
  <c r="F28" i="269"/>
  <c r="H28" i="269" s="1"/>
  <c r="F26" i="269"/>
  <c r="H26" i="269" s="1"/>
  <c r="F25" i="269"/>
  <c r="H25" i="269" s="1"/>
  <c r="F27" i="269"/>
  <c r="H27" i="269" s="1"/>
  <c r="F24" i="269"/>
  <c r="H24" i="269" s="1"/>
  <c r="F23" i="269"/>
  <c r="H23" i="269" s="1"/>
  <c r="H22" i="271"/>
  <c r="H21" i="271"/>
  <c r="H20" i="271"/>
  <c r="H19" i="271" s="1"/>
  <c r="H10" i="271"/>
  <c r="H11" i="271"/>
  <c r="H12" i="271"/>
  <c r="H14" i="271"/>
  <c r="H9" i="271"/>
  <c r="F17" i="271"/>
  <c r="H17" i="271" s="1"/>
  <c r="F16" i="271"/>
  <c r="F15" i="271"/>
  <c r="H15" i="271" s="1"/>
  <c r="F13" i="271"/>
  <c r="H13" i="271" s="1"/>
  <c r="N22" i="271"/>
  <c r="N21" i="271"/>
  <c r="N20" i="271"/>
  <c r="N19" i="271" s="1"/>
  <c r="N10" i="271"/>
  <c r="N11" i="271"/>
  <c r="N12" i="271"/>
  <c r="N13" i="271"/>
  <c r="N14" i="271"/>
  <c r="N15" i="271"/>
  <c r="N17" i="271"/>
  <c r="N9" i="271"/>
  <c r="F66" i="268"/>
  <c r="G92" i="268"/>
  <c r="H92" i="268"/>
  <c r="H86" i="268"/>
  <c r="H85" i="268"/>
  <c r="H84" i="268"/>
  <c r="H83" i="268"/>
  <c r="H82" i="268"/>
  <c r="H81" i="268"/>
  <c r="H80" i="268"/>
  <c r="H79" i="268"/>
  <c r="H78" i="268"/>
  <c r="H77" i="268"/>
  <c r="H76" i="268"/>
  <c r="H75" i="268"/>
  <c r="H74" i="268"/>
  <c r="H73" i="268"/>
  <c r="H72" i="268"/>
  <c r="H71" i="268"/>
  <c r="H70" i="268"/>
  <c r="H69" i="268"/>
  <c r="H68" i="268"/>
  <c r="H67" i="268"/>
  <c r="H66" i="268"/>
  <c r="H65" i="268"/>
  <c r="H64" i="268"/>
  <c r="H63" i="268"/>
  <c r="H62" i="268"/>
  <c r="H61" i="268"/>
  <c r="H60" i="268"/>
  <c r="H59" i="268"/>
  <c r="H58" i="268"/>
  <c r="H57" i="268"/>
  <c r="H56" i="268"/>
  <c r="H55" i="268"/>
  <c r="H54" i="268"/>
  <c r="H53" i="268"/>
  <c r="H52" i="268"/>
  <c r="H51" i="268"/>
  <c r="H49" i="268" s="1"/>
  <c r="H12" i="268"/>
  <c r="H13" i="268"/>
  <c r="H14" i="268"/>
  <c r="H15" i="268"/>
  <c r="H16" i="268"/>
  <c r="H17" i="268"/>
  <c r="H18" i="268"/>
  <c r="H19" i="268"/>
  <c r="H20" i="268"/>
  <c r="H21" i="268"/>
  <c r="H22" i="268"/>
  <c r="H23" i="268"/>
  <c r="H24" i="268"/>
  <c r="H25" i="268"/>
  <c r="H26" i="268"/>
  <c r="H27" i="268"/>
  <c r="H28" i="268"/>
  <c r="H31" i="268"/>
  <c r="H32" i="268"/>
  <c r="H33" i="268"/>
  <c r="H34" i="268"/>
  <c r="H35" i="268"/>
  <c r="H36" i="268"/>
  <c r="H37" i="268"/>
  <c r="H38" i="268"/>
  <c r="H39" i="268"/>
  <c r="H41" i="268"/>
  <c r="H42" i="268"/>
  <c r="H43" i="268"/>
  <c r="H44" i="268"/>
  <c r="H45" i="268"/>
  <c r="H46" i="268"/>
  <c r="H47" i="268"/>
  <c r="H11" i="268"/>
  <c r="N92" i="268"/>
  <c r="N86" i="268"/>
  <c r="N85" i="268"/>
  <c r="N84" i="268"/>
  <c r="N83" i="268"/>
  <c r="N82" i="268"/>
  <c r="N81" i="268"/>
  <c r="N80" i="268"/>
  <c r="N79" i="268"/>
  <c r="N78" i="268"/>
  <c r="N77" i="268"/>
  <c r="N76" i="268"/>
  <c r="N75" i="268"/>
  <c r="N74" i="268"/>
  <c r="N73" i="268"/>
  <c r="N72" i="268"/>
  <c r="N71" i="268"/>
  <c r="N70" i="268"/>
  <c r="N69" i="268"/>
  <c r="N68" i="268"/>
  <c r="N67" i="268"/>
  <c r="N66" i="268"/>
  <c r="N65" i="268"/>
  <c r="N64" i="268"/>
  <c r="N63" i="268"/>
  <c r="N62" i="268"/>
  <c r="N61" i="268"/>
  <c r="N60" i="268"/>
  <c r="N59" i="268"/>
  <c r="N58" i="268"/>
  <c r="N57" i="268"/>
  <c r="N56" i="268"/>
  <c r="N55" i="268"/>
  <c r="N54" i="268"/>
  <c r="N53" i="268"/>
  <c r="N52" i="268"/>
  <c r="N51" i="268"/>
  <c r="N12" i="268"/>
  <c r="N13" i="268"/>
  <c r="N14" i="268"/>
  <c r="N15" i="268"/>
  <c r="N16" i="268"/>
  <c r="N17" i="268"/>
  <c r="N18" i="268"/>
  <c r="N19" i="268"/>
  <c r="N20" i="268"/>
  <c r="N21" i="268"/>
  <c r="N22" i="268"/>
  <c r="N23" i="268"/>
  <c r="N24" i="268"/>
  <c r="N25" i="268"/>
  <c r="N26" i="268"/>
  <c r="N27" i="268"/>
  <c r="N28" i="268"/>
  <c r="N31" i="268"/>
  <c r="N32" i="268"/>
  <c r="N33" i="268"/>
  <c r="N34" i="268"/>
  <c r="N35" i="268"/>
  <c r="N36" i="268"/>
  <c r="N37" i="268"/>
  <c r="N38" i="268"/>
  <c r="N39" i="268"/>
  <c r="N40" i="268"/>
  <c r="N41" i="268"/>
  <c r="N42" i="268"/>
  <c r="N43" i="268"/>
  <c r="N44" i="268"/>
  <c r="N45" i="268"/>
  <c r="N46" i="268"/>
  <c r="N47" i="268"/>
  <c r="N11" i="268"/>
  <c r="F40" i="268"/>
  <c r="H40" i="268" s="1"/>
  <c r="F30" i="268"/>
  <c r="F29" i="268"/>
  <c r="H60" i="270" l="1"/>
  <c r="H90" i="270"/>
  <c r="H57" i="270"/>
  <c r="H56" i="270" s="1"/>
  <c r="H26" i="270"/>
  <c r="H20" i="269"/>
  <c r="N49" i="268"/>
  <c r="F34" i="273"/>
  <c r="H34" i="273" s="1"/>
  <c r="H33" i="273"/>
  <c r="H32" i="273" s="1"/>
  <c r="L34" i="273"/>
  <c r="L33" i="273"/>
  <c r="H13" i="273"/>
  <c r="H14" i="273"/>
  <c r="H15" i="273"/>
  <c r="H16" i="273"/>
  <c r="H17" i="273"/>
  <c r="H18" i="273"/>
  <c r="H20" i="273"/>
  <c r="H12" i="273"/>
  <c r="L13" i="273"/>
  <c r="L14" i="273"/>
  <c r="L15" i="273"/>
  <c r="L16" i="273"/>
  <c r="L17" i="273"/>
  <c r="L18" i="273"/>
  <c r="L19" i="273"/>
  <c r="L20" i="273"/>
  <c r="L12" i="273"/>
  <c r="L11" i="273" s="1"/>
  <c r="L10" i="272" s="1"/>
  <c r="F19" i="273"/>
  <c r="H19" i="273" s="1"/>
  <c r="H69" i="272"/>
  <c r="H68" i="272"/>
  <c r="H67" i="272" s="1"/>
  <c r="H66" i="272" s="1"/>
  <c r="H65" i="272"/>
  <c r="H64" i="272"/>
  <c r="H63" i="272"/>
  <c r="H62" i="272"/>
  <c r="H61" i="272"/>
  <c r="H56" i="272"/>
  <c r="H57" i="272"/>
  <c r="H55" i="272"/>
  <c r="H54" i="272"/>
  <c r="H50" i="272"/>
  <c r="H49" i="272"/>
  <c r="H48" i="272"/>
  <c r="H46" i="272"/>
  <c r="H45" i="272" s="1"/>
  <c r="H44" i="272"/>
  <c r="H43" i="272" s="1"/>
  <c r="H41" i="272"/>
  <c r="H40" i="272" s="1"/>
  <c r="H39" i="272"/>
  <c r="H38" i="272" s="1"/>
  <c r="H37" i="272"/>
  <c r="H36" i="272"/>
  <c r="L69" i="272"/>
  <c r="L68" i="272"/>
  <c r="L67" i="272" s="1"/>
  <c r="L65" i="272"/>
  <c r="L64" i="272"/>
  <c r="L63" i="272"/>
  <c r="L62" i="272"/>
  <c r="L61" i="272"/>
  <c r="L57" i="272"/>
  <c r="L56" i="272"/>
  <c r="L55" i="272"/>
  <c r="L54" i="272"/>
  <c r="L50" i="272"/>
  <c r="L49" i="272"/>
  <c r="L48" i="272"/>
  <c r="L46" i="272"/>
  <c r="L45" i="272" s="1"/>
  <c r="L44" i="272"/>
  <c r="L43" i="272" s="1"/>
  <c r="L41" i="272"/>
  <c r="L40" i="272" s="1"/>
  <c r="L39" i="272"/>
  <c r="L38" i="272" s="1"/>
  <c r="L37" i="272"/>
  <c r="L36" i="272"/>
  <c r="H34" i="272"/>
  <c r="H33" i="272"/>
  <c r="H32" i="272" s="1"/>
  <c r="L34" i="272"/>
  <c r="L33" i="272"/>
  <c r="L32" i="272" s="1"/>
  <c r="F74" i="272"/>
  <c r="H74" i="272"/>
  <c r="H73" i="272"/>
  <c r="H72" i="272"/>
  <c r="H71" i="272" s="1"/>
  <c r="H12" i="272" s="1"/>
  <c r="L74" i="272"/>
  <c r="L73" i="272"/>
  <c r="L72" i="272"/>
  <c r="L16" i="272"/>
  <c r="L17" i="272"/>
  <c r="L18" i="272"/>
  <c r="L19" i="272"/>
  <c r="L20" i="272"/>
  <c r="L21" i="272"/>
  <c r="L22" i="272"/>
  <c r="L23" i="272"/>
  <c r="L24" i="272"/>
  <c r="L25" i="272"/>
  <c r="L15" i="272"/>
  <c r="H17" i="272"/>
  <c r="H18" i="272"/>
  <c r="H20" i="272"/>
  <c r="H21" i="272"/>
  <c r="H22" i="272"/>
  <c r="H23" i="272"/>
  <c r="H24" i="272"/>
  <c r="F26" i="272"/>
  <c r="F25" i="272"/>
  <c r="H25" i="272" s="1"/>
  <c r="F19" i="272"/>
  <c r="H19" i="272" s="1"/>
  <c r="H16" i="272"/>
  <c r="H15" i="272"/>
  <c r="H69" i="267"/>
  <c r="H68" i="267" s="1"/>
  <c r="H61" i="267"/>
  <c r="H48" i="267"/>
  <c r="H47" i="267"/>
  <c r="F66" i="267"/>
  <c r="H66" i="267" s="1"/>
  <c r="F65" i="267"/>
  <c r="H65" i="267" s="1"/>
  <c r="F64" i="267"/>
  <c r="H64" i="267" s="1"/>
  <c r="F63" i="267"/>
  <c r="H63" i="267" s="1"/>
  <c r="F62" i="267"/>
  <c r="H62" i="267" s="1"/>
  <c r="F60" i="267"/>
  <c r="H60" i="267" s="1"/>
  <c r="F59" i="267"/>
  <c r="H59" i="267" s="1"/>
  <c r="F58" i="267"/>
  <c r="H58" i="267" s="1"/>
  <c r="F55" i="267"/>
  <c r="H55" i="267" s="1"/>
  <c r="F54" i="267"/>
  <c r="H54" i="267" s="1"/>
  <c r="F53" i="267"/>
  <c r="H53" i="267" s="1"/>
  <c r="F52" i="267"/>
  <c r="H52" i="267" s="1"/>
  <c r="F51" i="267"/>
  <c r="H51" i="267" s="1"/>
  <c r="F50" i="267"/>
  <c r="H50" i="267" s="1"/>
  <c r="F49" i="267"/>
  <c r="H49" i="267" s="1"/>
  <c r="K69" i="267"/>
  <c r="K68" i="267" s="1"/>
  <c r="K65" i="267"/>
  <c r="K66" i="267"/>
  <c r="K64" i="267"/>
  <c r="K63" i="267"/>
  <c r="K62" i="267"/>
  <c r="K61" i="267"/>
  <c r="K60" i="267"/>
  <c r="K59" i="267"/>
  <c r="K58" i="267"/>
  <c r="K48" i="267"/>
  <c r="K49" i="267"/>
  <c r="K50" i="267"/>
  <c r="K51" i="267"/>
  <c r="K52" i="267"/>
  <c r="K53" i="267"/>
  <c r="K54" i="267"/>
  <c r="K55" i="267"/>
  <c r="K47" i="267"/>
  <c r="H42" i="267"/>
  <c r="F40" i="267"/>
  <c r="H40" i="267" s="1"/>
  <c r="F38" i="267"/>
  <c r="H38" i="267" s="1"/>
  <c r="I36" i="267"/>
  <c r="K42" i="267"/>
  <c r="K40" i="267"/>
  <c r="K38" i="267"/>
  <c r="K36" i="267" s="1"/>
  <c r="H32" i="267"/>
  <c r="H28" i="267"/>
  <c r="F34" i="267"/>
  <c r="H34" i="267" s="1"/>
  <c r="F33" i="267"/>
  <c r="H33" i="267" s="1"/>
  <c r="F31" i="267"/>
  <c r="H31" i="267" s="1"/>
  <c r="F30" i="267"/>
  <c r="H30" i="267" s="1"/>
  <c r="F29" i="267"/>
  <c r="H29" i="267" s="1"/>
  <c r="F27" i="267"/>
  <c r="H27" i="267" s="1"/>
  <c r="F26" i="267"/>
  <c r="H26" i="267" s="1"/>
  <c r="F25" i="267"/>
  <c r="H25" i="267" s="1"/>
  <c r="K34" i="267"/>
  <c r="K33" i="267"/>
  <c r="K32" i="267"/>
  <c r="K31" i="267"/>
  <c r="K30" i="267"/>
  <c r="K29" i="267"/>
  <c r="K28" i="267"/>
  <c r="K27" i="267"/>
  <c r="K26" i="267"/>
  <c r="K25" i="267"/>
  <c r="L35" i="272" l="1"/>
  <c r="K57" i="267"/>
  <c r="H36" i="267"/>
  <c r="H57" i="267"/>
  <c r="K24" i="267"/>
  <c r="K46" i="267"/>
  <c r="H46" i="267"/>
  <c r="J36" i="267"/>
  <c r="H24" i="267"/>
  <c r="H13" i="272"/>
  <c r="L32" i="273"/>
  <c r="H47" i="272"/>
  <c r="L31" i="272"/>
  <c r="L53" i="272"/>
  <c r="L52" i="272" s="1"/>
  <c r="H60" i="272"/>
  <c r="H59" i="272" s="1"/>
  <c r="H35" i="272"/>
  <c r="H31" i="272" s="1"/>
  <c r="L71" i="272"/>
  <c r="L12" i="272" s="1"/>
  <c r="L60" i="272"/>
  <c r="L59" i="272" s="1"/>
  <c r="H53" i="272"/>
  <c r="H52" i="272" s="1"/>
  <c r="L47" i="272"/>
  <c r="L42" i="272" s="1"/>
  <c r="L66" i="272"/>
  <c r="H11" i="273"/>
  <c r="H42" i="272"/>
  <c r="F36" i="267"/>
  <c r="G36" i="267" s="1"/>
  <c r="H10" i="272" l="1"/>
  <c r="H9" i="273"/>
  <c r="L13" i="272"/>
  <c r="L9" i="273"/>
  <c r="L29" i="272"/>
  <c r="H29" i="272"/>
  <c r="K13" i="267"/>
  <c r="K14" i="267"/>
  <c r="K15" i="267"/>
  <c r="K16" i="267"/>
  <c r="K17" i="267"/>
  <c r="K18" i="267"/>
  <c r="K19" i="267"/>
  <c r="K20" i="267"/>
  <c r="K21" i="267"/>
  <c r="K22" i="267"/>
  <c r="H13" i="267"/>
  <c r="H19" i="267"/>
  <c r="H12" i="267"/>
  <c r="F22" i="267"/>
  <c r="H22" i="267" s="1"/>
  <c r="F21" i="267"/>
  <c r="H21" i="267" s="1"/>
  <c r="F20" i="267"/>
  <c r="H20" i="267" s="1"/>
  <c r="F18" i="267"/>
  <c r="H18" i="267" s="1"/>
  <c r="F17" i="267"/>
  <c r="H17" i="267" s="1"/>
  <c r="F16" i="267"/>
  <c r="H16" i="267" s="1"/>
  <c r="F15" i="267"/>
  <c r="H15" i="267" s="1"/>
  <c r="F14" i="267"/>
  <c r="H14" i="267" s="1"/>
  <c r="K12" i="267"/>
  <c r="H11" i="269"/>
  <c r="H12" i="269"/>
  <c r="H10" i="269"/>
  <c r="F17" i="269"/>
  <c r="F16" i="269"/>
  <c r="F15" i="269"/>
  <c r="F18" i="269"/>
  <c r="H18" i="269" s="1"/>
  <c r="F14" i="269"/>
  <c r="F13" i="269"/>
  <c r="H13" i="269" s="1"/>
  <c r="K11" i="267" l="1"/>
  <c r="K10" i="267" s="1"/>
  <c r="H11" i="267"/>
  <c r="N147" i="270"/>
  <c r="N146" i="270" s="1"/>
  <c r="N145" i="270"/>
  <c r="N144" i="270" s="1"/>
  <c r="N143" i="270"/>
  <c r="N142" i="270"/>
  <c r="N141" i="270"/>
  <c r="N140" i="270"/>
  <c r="N139" i="270" s="1"/>
  <c r="N138" i="270"/>
  <c r="N137" i="270"/>
  <c r="N136" i="270" s="1"/>
  <c r="N135" i="270"/>
  <c r="N134" i="270"/>
  <c r="N132" i="270" s="1"/>
  <c r="N129" i="270"/>
  <c r="N128" i="270"/>
  <c r="N127" i="270"/>
  <c r="N126" i="270"/>
  <c r="N125" i="270"/>
  <c r="N124" i="270"/>
  <c r="N123" i="270"/>
  <c r="N122" i="270"/>
  <c r="N121" i="270"/>
  <c r="N120" i="270"/>
  <c r="N119" i="270"/>
  <c r="N118" i="270"/>
  <c r="N117" i="270"/>
  <c r="N116" i="270"/>
  <c r="N115" i="270"/>
  <c r="N114" i="270"/>
  <c r="N113" i="270"/>
  <c r="N112" i="270"/>
  <c r="N111" i="270"/>
  <c r="N110" i="270"/>
  <c r="N109" i="270"/>
  <c r="N108" i="270"/>
  <c r="N107" i="270"/>
  <c r="N106" i="270"/>
  <c r="N105" i="270"/>
  <c r="N104" i="270"/>
  <c r="N103" i="270"/>
  <c r="N102" i="270"/>
  <c r="N101" i="270"/>
  <c r="N100" i="270"/>
  <c r="N99" i="270"/>
  <c r="N98" i="270"/>
  <c r="N97" i="270"/>
  <c r="N94" i="270"/>
  <c r="N93" i="270"/>
  <c r="N92" i="270"/>
  <c r="N91" i="270" s="1"/>
  <c r="N86" i="270"/>
  <c r="N85" i="270"/>
  <c r="N84" i="270"/>
  <c r="N83" i="270"/>
  <c r="N82" i="270"/>
  <c r="N81" i="270"/>
  <c r="N80" i="270"/>
  <c r="N79" i="270"/>
  <c r="N78" i="270"/>
  <c r="N77" i="270"/>
  <c r="N76" i="270"/>
  <c r="N75" i="270"/>
  <c r="N74" i="270"/>
  <c r="N73" i="270"/>
  <c r="N72" i="270"/>
  <c r="N71" i="270"/>
  <c r="J10" i="267" l="1"/>
  <c r="K9" i="267"/>
  <c r="J9" i="267" s="1"/>
  <c r="N90" i="270"/>
  <c r="N96" i="270"/>
  <c r="N131" i="270"/>
  <c r="N67" i="270" l="1"/>
  <c r="N65" i="270"/>
  <c r="N63" i="270"/>
  <c r="N62" i="270"/>
  <c r="N61" i="270"/>
  <c r="N59" i="270"/>
  <c r="N58" i="270"/>
  <c r="N56" i="270" s="1"/>
  <c r="N54" i="270"/>
  <c r="N53" i="270"/>
  <c r="N52" i="270"/>
  <c r="N51" i="270"/>
  <c r="N50" i="270"/>
  <c r="N49" i="270"/>
  <c r="N48" i="270"/>
  <c r="N47" i="270"/>
  <c r="N46" i="270"/>
  <c r="N45" i="270"/>
  <c r="N44" i="270"/>
  <c r="N43" i="270"/>
  <c r="N42" i="270"/>
  <c r="N41" i="270"/>
  <c r="N40" i="270"/>
  <c r="N39" i="270"/>
  <c r="N38" i="270"/>
  <c r="N37" i="270"/>
  <c r="N36" i="270"/>
  <c r="N35" i="270"/>
  <c r="N34" i="270"/>
  <c r="N33" i="270"/>
  <c r="N32" i="270"/>
  <c r="N31" i="270"/>
  <c r="N30" i="270"/>
  <c r="N29" i="270"/>
  <c r="N28" i="270"/>
  <c r="N27" i="270"/>
  <c r="N12" i="270"/>
  <c r="N13" i="270"/>
  <c r="N14" i="270"/>
  <c r="N15" i="270"/>
  <c r="N16" i="270"/>
  <c r="N17" i="270"/>
  <c r="N18" i="270"/>
  <c r="N19" i="270"/>
  <c r="N20" i="270"/>
  <c r="N21" i="270"/>
  <c r="N22" i="270"/>
  <c r="N11" i="270"/>
  <c r="N26" i="270" l="1"/>
  <c r="K28" i="269"/>
  <c r="K27" i="269"/>
  <c r="K26" i="269"/>
  <c r="K25" i="269"/>
  <c r="K24" i="269"/>
  <c r="K23" i="269"/>
  <c r="K20" i="269" s="1"/>
  <c r="K10" i="269"/>
  <c r="K11" i="269"/>
  <c r="K12" i="269"/>
  <c r="K13" i="269"/>
  <c r="K18" i="269"/>
  <c r="I11" i="267" l="1"/>
  <c r="F11" i="267" s="1"/>
  <c r="I46" i="267"/>
  <c r="J46" i="267" l="1"/>
  <c r="F46" i="267"/>
  <c r="G46" i="267" s="1"/>
  <c r="G11" i="267"/>
  <c r="J11" i="267"/>
  <c r="I11" i="273"/>
  <c r="I10" i="272" s="1"/>
  <c r="J10" i="272" s="1"/>
  <c r="I32" i="273"/>
  <c r="I53" i="272"/>
  <c r="I47" i="272"/>
  <c r="I35" i="272"/>
  <c r="I32" i="272"/>
  <c r="I13" i="272" l="1"/>
  <c r="J13" i="272" s="1"/>
  <c r="F32" i="273"/>
  <c r="J32" i="273"/>
  <c r="J11" i="273"/>
  <c r="F11" i="273"/>
  <c r="J35" i="272"/>
  <c r="F35" i="272"/>
  <c r="G35" i="272" s="1"/>
  <c r="J47" i="272"/>
  <c r="F47" i="272"/>
  <c r="G47" i="272" s="1"/>
  <c r="J53" i="272"/>
  <c r="F53" i="272"/>
  <c r="G53" i="272" s="1"/>
  <c r="J32" i="272"/>
  <c r="F32" i="272"/>
  <c r="G32" i="272" s="1"/>
  <c r="I60" i="272"/>
  <c r="I45" i="272"/>
  <c r="I43" i="272"/>
  <c r="I42" i="272" s="1"/>
  <c r="I40" i="272"/>
  <c r="I38" i="272"/>
  <c r="I71" i="272"/>
  <c r="I12" i="272" s="1"/>
  <c r="G16" i="265"/>
  <c r="G134" i="263"/>
  <c r="G272" i="263"/>
  <c r="I91" i="268"/>
  <c r="I19" i="271"/>
  <c r="I96" i="270"/>
  <c r="I91" i="270"/>
  <c r="F91" i="270" s="1"/>
  <c r="G91" i="270" s="1"/>
  <c r="I24" i="267"/>
  <c r="I66" i="270"/>
  <c r="I64" i="270"/>
  <c r="I49" i="268"/>
  <c r="F19" i="271" l="1"/>
  <c r="G19" i="271" s="1"/>
  <c r="J19" i="271"/>
  <c r="I90" i="270"/>
  <c r="J91" i="270"/>
  <c r="J96" i="270"/>
  <c r="F96" i="270"/>
  <c r="G96" i="270" s="1"/>
  <c r="F13" i="272"/>
  <c r="G13" i="272" s="1"/>
  <c r="G32" i="273"/>
  <c r="G11" i="273"/>
  <c r="F10" i="272"/>
  <c r="G10" i="272" s="1"/>
  <c r="J49" i="268"/>
  <c r="F49" i="268"/>
  <c r="G49" i="268" s="1"/>
  <c r="J12" i="272"/>
  <c r="F12" i="272"/>
  <c r="F60" i="272"/>
  <c r="G60" i="272" s="1"/>
  <c r="J60" i="272"/>
  <c r="G15" i="265"/>
  <c r="F42" i="272"/>
  <c r="J42" i="272"/>
  <c r="J38" i="272"/>
  <c r="F38" i="272"/>
  <c r="G38" i="272" s="1"/>
  <c r="J40" i="272"/>
  <c r="F40" i="272"/>
  <c r="G40" i="272" s="1"/>
  <c r="J43" i="272"/>
  <c r="F43" i="272"/>
  <c r="G43" i="272" s="1"/>
  <c r="G17" i="265"/>
  <c r="F17" i="265" s="1"/>
  <c r="J45" i="272"/>
  <c r="F45" i="272"/>
  <c r="G45" i="272" s="1"/>
  <c r="J71" i="272"/>
  <c r="F71" i="272"/>
  <c r="G71" i="272" s="1"/>
  <c r="J24" i="267"/>
  <c r="F24" i="267"/>
  <c r="G24" i="267" s="1"/>
  <c r="I31" i="272"/>
  <c r="J31" i="272" s="1"/>
  <c r="I59" i="272"/>
  <c r="I67" i="272"/>
  <c r="I52" i="272"/>
  <c r="J90" i="270" l="1"/>
  <c r="F90" i="270"/>
  <c r="G12" i="272"/>
  <c r="J52" i="272"/>
  <c r="F52" i="272"/>
  <c r="F67" i="272"/>
  <c r="G67" i="272" s="1"/>
  <c r="J67" i="272"/>
  <c r="F59" i="272"/>
  <c r="J59" i="272"/>
  <c r="G7" i="263"/>
  <c r="I139" i="270" l="1"/>
  <c r="F139" i="270" s="1"/>
  <c r="G139" i="270" s="1"/>
  <c r="I68" i="267"/>
  <c r="I37" i="267"/>
  <c r="I41" i="267"/>
  <c r="M23" i="265" s="1"/>
  <c r="G264" i="263"/>
  <c r="M24" i="265" l="1"/>
  <c r="M22" i="265" s="1"/>
  <c r="M12" i="265" s="1"/>
  <c r="J68" i="267"/>
  <c r="F68" i="267"/>
  <c r="G253" i="263"/>
  <c r="I136" i="270"/>
  <c r="L31" i="265" l="1"/>
  <c r="L29" i="265" s="1"/>
  <c r="L26" i="265" s="1"/>
  <c r="L11" i="265" s="1"/>
  <c r="L9" i="265" s="1"/>
  <c r="F136" i="270"/>
  <c r="G136" i="270" s="1"/>
  <c r="I29" i="268"/>
  <c r="I15" i="269"/>
  <c r="I16" i="269"/>
  <c r="I17" i="269"/>
  <c r="N29" i="268" l="1"/>
  <c r="H29" i="268"/>
  <c r="H17" i="269"/>
  <c r="K17" i="269"/>
  <c r="H16" i="269"/>
  <c r="K16" i="269"/>
  <c r="H15" i="269"/>
  <c r="K15" i="269"/>
  <c r="I16" i="271"/>
  <c r="H16" i="271" s="1"/>
  <c r="H8" i="271" s="1"/>
  <c r="I30" i="268"/>
  <c r="H30" i="268" s="1"/>
  <c r="I26" i="272"/>
  <c r="I8" i="271" l="1"/>
  <c r="F8" i="271" s="1"/>
  <c r="G8" i="271" s="1"/>
  <c r="N16" i="271"/>
  <c r="N8" i="271" s="1"/>
  <c r="J8" i="271" s="1"/>
  <c r="H10" i="268"/>
  <c r="H8" i="268" s="1"/>
  <c r="I10" i="268"/>
  <c r="N30" i="268"/>
  <c r="N10" i="268" s="1"/>
  <c r="I14" i="272"/>
  <c r="G13" i="265" s="1"/>
  <c r="L26" i="272"/>
  <c r="L14" i="272" s="1"/>
  <c r="L11" i="272" s="1"/>
  <c r="H26" i="272"/>
  <c r="H14" i="272" s="1"/>
  <c r="H11" i="272" s="1"/>
  <c r="I26" i="270"/>
  <c r="J10" i="268" l="1"/>
  <c r="N8" i="268"/>
  <c r="I8" i="268"/>
  <c r="J26" i="270"/>
  <c r="F26" i="270"/>
  <c r="G26" i="270" s="1"/>
  <c r="F10" i="268"/>
  <c r="G10" i="268" s="1"/>
  <c r="H9" i="272"/>
  <c r="H8" i="272" s="1"/>
  <c r="L9" i="272"/>
  <c r="L8" i="272" s="1"/>
  <c r="F14" i="272"/>
  <c r="G14" i="272" s="1"/>
  <c r="J14" i="272"/>
  <c r="I22" i="273"/>
  <c r="J8" i="268" l="1"/>
  <c r="F8" i="268"/>
  <c r="I20" i="269"/>
  <c r="J20" i="269" l="1"/>
  <c r="F20" i="269"/>
  <c r="G20" i="269" s="1"/>
  <c r="H30" i="265"/>
  <c r="I57" i="267" l="1"/>
  <c r="I39" i="267"/>
  <c r="I10" i="267" s="1"/>
  <c r="I30" i="273"/>
  <c r="I66" i="272"/>
  <c r="I44" i="267" l="1"/>
  <c r="J57" i="267"/>
  <c r="F57" i="267"/>
  <c r="G57" i="267" s="1"/>
  <c r="I29" i="272"/>
  <c r="F66" i="272"/>
  <c r="J66" i="272"/>
  <c r="G14" i="265"/>
  <c r="F14" i="265" s="1"/>
  <c r="J29" i="272"/>
  <c r="G20" i="265"/>
  <c r="F20" i="265" s="1"/>
  <c r="G19" i="265"/>
  <c r="G18" i="265"/>
  <c r="F29" i="272" l="1"/>
  <c r="G29" i="272" s="1"/>
  <c r="I11" i="272"/>
  <c r="I9" i="272" s="1"/>
  <c r="I8" i="272" s="1"/>
  <c r="G247" i="263"/>
  <c r="J8" i="272" l="1"/>
  <c r="J11" i="272"/>
  <c r="J9" i="272" s="1"/>
  <c r="F11" i="272"/>
  <c r="F9" i="272" s="1"/>
  <c r="G9" i="272" s="1"/>
  <c r="G11" i="272" l="1"/>
  <c r="F8" i="272"/>
  <c r="I146" i="270" l="1"/>
  <c r="J30" i="265"/>
  <c r="J31" i="265" l="1"/>
  <c r="J29" i="265" s="1"/>
  <c r="F146" i="270"/>
  <c r="G146" i="270" s="1"/>
  <c r="G259" i="263"/>
  <c r="G256" i="263"/>
  <c r="I14" i="269" l="1"/>
  <c r="I9" i="269" l="1"/>
  <c r="H14" i="269"/>
  <c r="H9" i="269" s="1"/>
  <c r="F9" i="269" s="1"/>
  <c r="G9" i="269" s="1"/>
  <c r="K14" i="269"/>
  <c r="K9" i="269" s="1"/>
  <c r="K8" i="269" s="1"/>
  <c r="G35" i="265"/>
  <c r="F37" i="265"/>
  <c r="G32" i="265"/>
  <c r="J9" i="269" l="1"/>
  <c r="F32" i="265"/>
  <c r="F35" i="265"/>
  <c r="F7" i="262"/>
  <c r="I144" i="270" l="1"/>
  <c r="F144" i="270" s="1"/>
  <c r="G144" i="270" s="1"/>
  <c r="I132" i="270"/>
  <c r="I60" i="270"/>
  <c r="I57" i="270"/>
  <c r="I33" i="269"/>
  <c r="I31" i="269"/>
  <c r="I29" i="269"/>
  <c r="I9" i="267"/>
  <c r="I9" i="273"/>
  <c r="I131" i="270" l="1"/>
  <c r="F132" i="270"/>
  <c r="G132" i="270" s="1"/>
  <c r="I56" i="270"/>
  <c r="J56" i="270" s="1"/>
  <c r="J9" i="273"/>
  <c r="F9" i="273"/>
  <c r="J25" i="265"/>
  <c r="J21" i="265"/>
  <c r="J26" i="265"/>
  <c r="F56" i="270" l="1"/>
  <c r="G56" i="270" s="1"/>
  <c r="J131" i="270"/>
  <c r="F131" i="270"/>
  <c r="G131" i="270" s="1"/>
  <c r="G262" i="263"/>
  <c r="G6" i="263" s="1"/>
  <c r="J22" i="265" l="1"/>
  <c r="J12" i="265" s="1"/>
  <c r="J11" i="265" l="1"/>
  <c r="H13" i="265"/>
  <c r="F19" i="265" l="1"/>
  <c r="F16" i="265" l="1"/>
  <c r="F18" i="265"/>
  <c r="F15" i="265" l="1"/>
  <c r="H27" i="265" l="1"/>
  <c r="I87" i="268" l="1"/>
  <c r="B14" i="262" l="1"/>
  <c r="B4" i="262"/>
  <c r="D16" i="275"/>
  <c r="B16" i="275"/>
  <c r="D15" i="275"/>
  <c r="B15" i="275"/>
  <c r="D14" i="275"/>
  <c r="B14" i="275"/>
  <c r="B13" i="275"/>
  <c r="K10" i="275"/>
  <c r="F8" i="275"/>
  <c r="F7" i="275"/>
  <c r="B4" i="275"/>
  <c r="H33" i="265"/>
  <c r="B4" i="271"/>
  <c r="M31" i="265"/>
  <c r="K31" i="265"/>
  <c r="H31" i="265"/>
  <c r="H29" i="265" s="1"/>
  <c r="I88" i="270"/>
  <c r="I87" i="270"/>
  <c r="H87" i="270" s="1"/>
  <c r="I30" i="265"/>
  <c r="M30" i="265"/>
  <c r="K30" i="265"/>
  <c r="I24" i="270"/>
  <c r="I23" i="270"/>
  <c r="B5" i="270"/>
  <c r="B5" i="269"/>
  <c r="H25" i="265"/>
  <c r="B5" i="268"/>
  <c r="H24" i="265"/>
  <c r="G24" i="265"/>
  <c r="I23" i="265"/>
  <c r="G23" i="265"/>
  <c r="B6" i="267"/>
  <c r="B6" i="273"/>
  <c r="B5" i="272"/>
  <c r="I31" i="265"/>
  <c r="G25" i="265"/>
  <c r="H23" i="265"/>
  <c r="B4" i="265"/>
  <c r="F24" i="265" l="1"/>
  <c r="H22" i="265"/>
  <c r="H12" i="265" s="1"/>
  <c r="N23" i="270"/>
  <c r="H23" i="270"/>
  <c r="N24" i="270"/>
  <c r="H24" i="270"/>
  <c r="N88" i="270"/>
  <c r="H88" i="270"/>
  <c r="H70" i="270" s="1"/>
  <c r="I70" i="270"/>
  <c r="N87" i="270"/>
  <c r="F23" i="265"/>
  <c r="G22" i="265"/>
  <c r="I69" i="270"/>
  <c r="I10" i="270"/>
  <c r="K29" i="265"/>
  <c r="K26" i="265" s="1"/>
  <c r="K11" i="265" s="1"/>
  <c r="K9" i="265" s="1"/>
  <c r="M29" i="265"/>
  <c r="M26" i="265" s="1"/>
  <c r="I29" i="265"/>
  <c r="I26" i="265" s="1"/>
  <c r="F13" i="265"/>
  <c r="F25" i="265"/>
  <c r="I7" i="271"/>
  <c r="I8" i="269"/>
  <c r="J8" i="269" s="1"/>
  <c r="I22" i="265"/>
  <c r="I12" i="265" s="1"/>
  <c r="J9" i="265"/>
  <c r="G21" i="265"/>
  <c r="B12" i="275"/>
  <c r="N70" i="270" l="1"/>
  <c r="F70" i="270"/>
  <c r="G70" i="270" s="1"/>
  <c r="H10" i="270"/>
  <c r="F10" i="270" s="1"/>
  <c r="G10" i="270" s="1"/>
  <c r="N10" i="270"/>
  <c r="G12" i="265"/>
  <c r="F22" i="265"/>
  <c r="M11" i="265"/>
  <c r="M9" i="265" s="1"/>
  <c r="I9" i="270"/>
  <c r="I8" i="270" s="1"/>
  <c r="G30" i="265"/>
  <c r="H26" i="265"/>
  <c r="H11" i="265" s="1"/>
  <c r="H9" i="265" s="1"/>
  <c r="G33" i="265"/>
  <c r="F33" i="265" s="1"/>
  <c r="G31" i="265"/>
  <c r="G27" i="265"/>
  <c r="F27" i="265" s="1"/>
  <c r="I11" i="265"/>
  <c r="I9" i="265" s="1"/>
  <c r="F21" i="265"/>
  <c r="M7" i="268"/>
  <c r="J10" i="270" l="1"/>
  <c r="N9" i="270"/>
  <c r="J9" i="270" s="1"/>
  <c r="J70" i="270"/>
  <c r="N69" i="270"/>
  <c r="F12" i="265"/>
  <c r="E15" i="265" s="1"/>
  <c r="G29" i="265"/>
  <c r="F29" i="265" s="1"/>
  <c r="F30" i="265"/>
  <c r="F31" i="265"/>
  <c r="N8" i="270" l="1"/>
  <c r="J8" i="270" s="1"/>
  <c r="J69" i="270"/>
  <c r="G26" i="265"/>
  <c r="G11" i="265" s="1"/>
  <c r="G9" i="265" s="1"/>
  <c r="F9" i="265" l="1"/>
  <c r="N9" i="265" s="1"/>
  <c r="F26" i="265"/>
  <c r="F11" i="265" s="1"/>
  <c r="E25" i="265" l="1"/>
  <c r="E24" i="265"/>
  <c r="E11" i="265"/>
  <c r="E14" i="265"/>
  <c r="M10" i="265"/>
  <c r="E12" i="265"/>
  <c r="E32" i="265"/>
  <c r="L10" i="265"/>
  <c r="E31" i="265"/>
  <c r="I10" i="265"/>
  <c r="E13" i="265"/>
  <c r="E36" i="265"/>
  <c r="E37" i="265"/>
  <c r="E23" i="265"/>
  <c r="E20" i="265"/>
  <c r="G10" i="265"/>
  <c r="E21" i="265"/>
  <c r="N10" i="265"/>
  <c r="E18" i="265"/>
  <c r="E33" i="265"/>
  <c r="H10" i="265"/>
  <c r="I170" i="263"/>
  <c r="K10" i="265"/>
  <c r="E19" i="265"/>
  <c r="E16" i="265"/>
  <c r="J10" i="265"/>
  <c r="E27" i="265"/>
  <c r="E28" i="265"/>
  <c r="E30" i="265"/>
  <c r="E22" i="265" l="1"/>
  <c r="F10" i="265"/>
  <c r="E29" i="265"/>
  <c r="E26" i="265" s="1"/>
  <c r="E35" i="265"/>
  <c r="E9" i="265" s="1"/>
</calcChain>
</file>

<file path=xl/sharedStrings.xml><?xml version="1.0" encoding="utf-8"?>
<sst xmlns="http://schemas.openxmlformats.org/spreadsheetml/2006/main" count="1974" uniqueCount="601">
  <si>
    <t>CAJA DE SEGURO SOCIAL</t>
  </si>
  <si>
    <t>DEPÓSITO Nº</t>
  </si>
  <si>
    <t>PLAZO</t>
  </si>
  <si>
    <t>TASA DE INTERÉS %</t>
  </si>
  <si>
    <t>TOTAL</t>
  </si>
  <si>
    <t>7 años</t>
  </si>
  <si>
    <t>5 años</t>
  </si>
  <si>
    <t>CSS-Excedente-Admón. Fondos del Siacap</t>
  </si>
  <si>
    <t>2 años</t>
  </si>
  <si>
    <t>3 años</t>
  </si>
  <si>
    <t>CSS-Excedente-Admón. Fondos del PRAA</t>
  </si>
  <si>
    <t>CSS-Excedente-Admón. Fondos Plan Bahamas</t>
  </si>
  <si>
    <t>Reserva para Riesgos de Muerte e Incendio de la Cartera Hipotecaria</t>
  </si>
  <si>
    <t>Reserva para Riesgos de Comprensivo, Incendio y Robo de la Póliza de Automóvil</t>
  </si>
  <si>
    <t>TOTAL RIESGO DE ENFERMEDAD Y MATERNIDAD</t>
  </si>
  <si>
    <t>4 años</t>
  </si>
  <si>
    <t>6 años</t>
  </si>
  <si>
    <t>COMPONENTE DE AHORRO PERSONAL</t>
  </si>
  <si>
    <t>COMPONENTE DE BENEFICIO DEFINIDO</t>
  </si>
  <si>
    <t>TOTAL RIESGOS PROFESIONALES</t>
  </si>
  <si>
    <t>RESERVA</t>
  </si>
  <si>
    <t>IMPORTE                                                                   (En Balboas)</t>
  </si>
  <si>
    <t>BANCO NACIONAL DE PANAMÁ</t>
  </si>
  <si>
    <t>Enfermedad y Maternidad</t>
  </si>
  <si>
    <t>Riesgos Profesionales</t>
  </si>
  <si>
    <t>CAJA DE AHORROS</t>
  </si>
  <si>
    <t>GLOBAL BANK</t>
  </si>
  <si>
    <t>DEPÓSITOS A PLAZO FIJO DE LOS FIDEICOMISOS QUE ADMINISTRA LA INSTITUCIÓN</t>
  </si>
  <si>
    <t xml:space="preserve">PERIODO   PACTADO                                                                              DEL                AL </t>
  </si>
  <si>
    <t>IMPORTE                        (En Balboas)</t>
  </si>
  <si>
    <t>DEPÓSITOS A PLAZO FIJO POR ENTIDAD BANCARIA, RIESGO O PROGRAMA Y FECHA DE VENCIMIENTO</t>
  </si>
  <si>
    <t>BICSA</t>
  </si>
  <si>
    <t>RESERVAS</t>
  </si>
  <si>
    <t xml:space="preserve">CAJA DE AHORROS </t>
  </si>
  <si>
    <t>%</t>
  </si>
  <si>
    <t xml:space="preserve">DEPÓSITO  Nº </t>
  </si>
  <si>
    <t xml:space="preserve"> </t>
  </si>
  <si>
    <t>Caja de Ahorros</t>
  </si>
  <si>
    <t>Bicsa</t>
  </si>
  <si>
    <t>Global Bank</t>
  </si>
  <si>
    <t>INT. MENSUAL CTA. CORRIENTE 10000009800</t>
  </si>
  <si>
    <t>BAC DE PANAMÁ</t>
  </si>
  <si>
    <t>BAC DE PANAMA</t>
  </si>
  <si>
    <t>SEGUROS COLECTIVOS DEL SUBSISTEMA MIXTO DE PENSIONES</t>
  </si>
  <si>
    <t>RIESGO DE ENFERMEDAD Y MATERNIDAD</t>
  </si>
  <si>
    <t>DEPÓSITOS A PLAZO FIJO</t>
  </si>
  <si>
    <t>Cuadro Nº10</t>
  </si>
  <si>
    <t>8 años</t>
  </si>
  <si>
    <t>Bac</t>
  </si>
  <si>
    <t>Cuadro Nº11</t>
  </si>
  <si>
    <t>BANISTMO</t>
  </si>
  <si>
    <t>* Interés mensual y capital a vencimiento en la Cuenta Corriente N°10000009800</t>
  </si>
  <si>
    <t>Interés mensual y capital a vencimiento en la Cuenta Corriente N°10000098471 DEL BANCO NACIONAL DE PANAMA</t>
  </si>
  <si>
    <t>Cantidad de Depósitos</t>
  </si>
  <si>
    <t>Banco Nacional de Panamá</t>
  </si>
  <si>
    <t>IVM-SUBSISTEMA EXCLUSIVAMENTE DE BENEFICIO DEFINIDO</t>
  </si>
  <si>
    <t>IVM-SUBSISTEMA MIXTO</t>
  </si>
  <si>
    <t>BANCO INTERNACIONAL DE COSTA RICA
(BICSA)</t>
  </si>
  <si>
    <t>SERVICIOS DE CONTABILIDAD</t>
  </si>
  <si>
    <t>COMPOSICIÓN 
%</t>
  </si>
  <si>
    <t>DEPÓSITOS A PLAZO FIJO DEL CENTRO DE PRESTAMO</t>
  </si>
  <si>
    <t xml:space="preserve">PERIODO                        PACTADO                                                                        DEL                          AL </t>
  </si>
  <si>
    <t>808-2017</t>
  </si>
  <si>
    <t>723-2017</t>
  </si>
  <si>
    <t>250-60004243</t>
  </si>
  <si>
    <t>250-60004252</t>
  </si>
  <si>
    <t>250-60004261</t>
  </si>
  <si>
    <t>250-60004270</t>
  </si>
  <si>
    <t>250-60004289</t>
  </si>
  <si>
    <t>SEGURO DE INVALIDEZ</t>
  </si>
  <si>
    <t>SEGURO DE RENTA VITALICIA</t>
  </si>
  <si>
    <t>DEPÓSITOS A PLAZO FIJO DE GESTIÓN ADMINISTRATIVA</t>
  </si>
  <si>
    <t xml:space="preserve"> SUBSISTEMA EXCLUSIVAMENTE DE BENEFICIO DEFINIDO</t>
  </si>
  <si>
    <t>DEPÓSITOS A PLAZO FIJO, RIESGO DE INVALIDEZ, VEJEZ Y MUERTE</t>
  </si>
  <si>
    <t>2704-2017</t>
  </si>
  <si>
    <t>29-12-2017</t>
  </si>
  <si>
    <t>29-12-2025</t>
  </si>
  <si>
    <t>SEGUROS COLECTIVOS DEL SUBSISTEMA MIXTO DE PENSIONES:</t>
  </si>
  <si>
    <t>23-04-2018</t>
  </si>
  <si>
    <t>Fuente: Depto. De Tesorería - DNF</t>
  </si>
  <si>
    <t>19-02-2018</t>
  </si>
  <si>
    <t xml:space="preserve">7 años </t>
  </si>
  <si>
    <t>23-04-2025</t>
  </si>
  <si>
    <t>IVM-Subsistema Exclusivamente de Beneficio Definido</t>
  </si>
  <si>
    <t>ADM-Seguro Colectivos</t>
  </si>
  <si>
    <t>18-06-2018</t>
  </si>
  <si>
    <t>17-06-2024</t>
  </si>
  <si>
    <t>1372-2018</t>
  </si>
  <si>
    <t>250-60005803</t>
  </si>
  <si>
    <t>1561-2018</t>
  </si>
  <si>
    <t>250-60005910</t>
  </si>
  <si>
    <t>250-60005901</t>
  </si>
  <si>
    <t>250-60005894</t>
  </si>
  <si>
    <t>250-60005885</t>
  </si>
  <si>
    <t>250-60006125</t>
  </si>
  <si>
    <t>250-60006134</t>
  </si>
  <si>
    <t>250-60006143</t>
  </si>
  <si>
    <t>250-60006152</t>
  </si>
  <si>
    <t>2133-2018</t>
  </si>
  <si>
    <t>250-60006250</t>
  </si>
  <si>
    <t>250-60006269</t>
  </si>
  <si>
    <t>250-60006278</t>
  </si>
  <si>
    <t>250-60006287</t>
  </si>
  <si>
    <t>250-60006367</t>
  </si>
  <si>
    <t>2239-2018</t>
  </si>
  <si>
    <t>250-60006376</t>
  </si>
  <si>
    <t>250-60006385</t>
  </si>
  <si>
    <t>250-60006394</t>
  </si>
  <si>
    <t>Preparado por:    _______________________________________</t>
  </si>
  <si>
    <t>6 meses</t>
  </si>
  <si>
    <t>250-60006615</t>
  </si>
  <si>
    <t>250-60006624</t>
  </si>
  <si>
    <t>250-60006633</t>
  </si>
  <si>
    <t>250-60006642</t>
  </si>
  <si>
    <t>250-60006651</t>
  </si>
  <si>
    <t>DEPÓSITOS A PLAZO FIJO - RIESGO DE INVALIDEZ, VEJEZ Y MUERTE</t>
  </si>
  <si>
    <t>475-2019</t>
  </si>
  <si>
    <t>|</t>
  </si>
  <si>
    <t>Total de Prima de Antigüedad *</t>
  </si>
  <si>
    <t xml:space="preserve">FUENTE: S.AyPF-DEPTO DE TESORERIA - DNF </t>
  </si>
  <si>
    <t>2084-2019</t>
  </si>
  <si>
    <t>250-60007650</t>
  </si>
  <si>
    <t>2122-2019</t>
  </si>
  <si>
    <t>250-60007669</t>
  </si>
  <si>
    <t>IVM-Subsistema Mixto /Ahorro Personal</t>
  </si>
  <si>
    <t>IVM-Subsistema Mixto /Beneficio Definido</t>
  </si>
  <si>
    <t>250-60007678</t>
  </si>
  <si>
    <t>250-60007687</t>
  </si>
  <si>
    <t>Reserva para obra de arte</t>
  </si>
  <si>
    <t>TOTAL ADMINISTRACIÓN</t>
  </si>
  <si>
    <t>IVM-Subsistema Exclusivamente Beneficio Definido-Substema Mixto-Ahorro Personal</t>
  </si>
  <si>
    <t>compensacion economica</t>
  </si>
  <si>
    <t>250-60008506</t>
  </si>
  <si>
    <t>250-60008515</t>
  </si>
  <si>
    <t>250-60008524</t>
  </si>
  <si>
    <t>250-60008533</t>
  </si>
  <si>
    <t xml:space="preserve">IVM-Subsistema Exclusivamente de Beneficio Definido /Subsistema Mixto </t>
  </si>
  <si>
    <t>250-60008622</t>
  </si>
  <si>
    <t>408-2020</t>
  </si>
  <si>
    <t xml:space="preserve">CUENTA BANCARIA </t>
  </si>
  <si>
    <t>Cta. Gral./10000040865</t>
  </si>
  <si>
    <t>250-60008828</t>
  </si>
  <si>
    <t>250-60008837</t>
  </si>
  <si>
    <t>10 años</t>
  </si>
  <si>
    <t>9 años</t>
  </si>
  <si>
    <t>120-2021</t>
  </si>
  <si>
    <t>SUBS. MIXTO/10000188130</t>
  </si>
  <si>
    <t>Cuadro N°9</t>
  </si>
  <si>
    <t xml:space="preserve">Enfermedad y Maternidad </t>
  </si>
  <si>
    <t xml:space="preserve"> CAJA DE SEGURO SOCIAL                                                                                                                                         </t>
  </si>
  <si>
    <t>CUADRO No. 1</t>
  </si>
  <si>
    <t>TOTAL SERVICIO DE CONTABILIDAD</t>
  </si>
  <si>
    <t>EN BALBOAS</t>
  </si>
  <si>
    <t>250-60009300</t>
  </si>
  <si>
    <t>250-60009319</t>
  </si>
  <si>
    <t>250-60009328</t>
  </si>
  <si>
    <t>250-60009337</t>
  </si>
  <si>
    <t>IVM-Subsistema Mixto /Ahorro Personal/Beneficio definido</t>
  </si>
  <si>
    <t>NOTA 242-2022</t>
  </si>
  <si>
    <t>242-2022</t>
  </si>
  <si>
    <t>250-60009373</t>
  </si>
  <si>
    <t>250-60009382</t>
  </si>
  <si>
    <t>Enfermedad y Maternidad/ Riesgos Profesionales</t>
  </si>
  <si>
    <t>250-60009444</t>
  </si>
  <si>
    <t>NOTA 523-2022</t>
  </si>
  <si>
    <t>250-60009453</t>
  </si>
  <si>
    <t>250-60009462</t>
  </si>
  <si>
    <t>BANISTMO, S.A.</t>
  </si>
  <si>
    <t>Banistmo, S.A.</t>
  </si>
  <si>
    <t>ADM-Seguro Colectivos/Renta Vitalicia</t>
  </si>
  <si>
    <t>ADM-Seguro Colectivos/Seguro de Invalidez</t>
  </si>
  <si>
    <t xml:space="preserve">     CENTRO DE PRÉSTAMO</t>
  </si>
  <si>
    <t>250-60009532</t>
  </si>
  <si>
    <t>250-60009541</t>
  </si>
  <si>
    <t>NOTA 0610-2022</t>
  </si>
  <si>
    <t xml:space="preserve">    1. GESTIÓN  ADMINISTRATIVA</t>
  </si>
  <si>
    <t xml:space="preserve">    3- RESERVAS PARA SINIESTROS</t>
  </si>
  <si>
    <t xml:space="preserve">    - EDIFICIOS</t>
  </si>
  <si>
    <t xml:space="preserve">    - MUERTE E INCENDIO DE LA CARTERA HIPOTECARIA</t>
  </si>
  <si>
    <t xml:space="preserve">    - OBRA DE ARTE</t>
  </si>
  <si>
    <t xml:space="preserve">    4.- SERVICIOS DE CONTABILIDAD</t>
  </si>
  <si>
    <t xml:space="preserve">     - SEGUROS DE RENTA VITALICIA</t>
  </si>
  <si>
    <t xml:space="preserve">     - SEGUROS DE INVALIDEZ</t>
  </si>
  <si>
    <t>II.- ENFERMEDAD Y MATERNIDAD</t>
  </si>
  <si>
    <t>IV.- RIESGOS PROFESIONALES</t>
  </si>
  <si>
    <t>IVM-Substema Mixto/ Ahorro Personal</t>
  </si>
  <si>
    <t xml:space="preserve">IVM-Substema Mixto/ Beneficio Definido </t>
  </si>
  <si>
    <t>NOTA 0738-2022</t>
  </si>
  <si>
    <t>NOTA 0740-2022</t>
  </si>
  <si>
    <t>BANCO ALIADO</t>
  </si>
  <si>
    <t>Apertura</t>
  </si>
  <si>
    <t>22-12-2022</t>
  </si>
  <si>
    <t>23-12-2030</t>
  </si>
  <si>
    <t>NOTA N800-2022</t>
  </si>
  <si>
    <t>NOTA 800-2022</t>
  </si>
  <si>
    <t>NOTA 800.2022</t>
  </si>
  <si>
    <t>Compensacion Economica</t>
  </si>
  <si>
    <t>CAPITAL</t>
  </si>
  <si>
    <t>BNP BANCA EN LINEA</t>
  </si>
  <si>
    <t>1 año</t>
  </si>
  <si>
    <t>Depósito a Plazo</t>
  </si>
  <si>
    <t>ALIAS NO DEFINIDO</t>
  </si>
  <si>
    <t>B/.</t>
  </si>
  <si>
    <t>Alias no definido</t>
  </si>
  <si>
    <t>VIGENTE CSS FEB 2023</t>
  </si>
  <si>
    <t>III.- INVALIDEZ, VEJEZ Y MUERTE (1+2)</t>
  </si>
  <si>
    <t>1-SUBSISTEMA EXCLUSIVAMENTE DE BENEFICIO DEFINIDO</t>
  </si>
  <si>
    <t>2-SUBSISTEMA MIXTO</t>
  </si>
  <si>
    <t xml:space="preserve">        - COMPONENTE DE AHORRO PERSONAL</t>
  </si>
  <si>
    <t xml:space="preserve">        - COMPONENTE DE BENEFICIO DEFINIDO</t>
  </si>
  <si>
    <r>
      <t xml:space="preserve">TOTAL FONDOS  INSTITUCIONALES </t>
    </r>
    <r>
      <rPr>
        <b/>
        <sz val="13"/>
        <color indexed="8"/>
        <rFont val="Arial"/>
        <family val="2"/>
      </rPr>
      <t>(I+II+III+IV)</t>
    </r>
  </si>
  <si>
    <r>
      <t xml:space="preserve">I.- GESTIÓN  ADMINISTRATIVA </t>
    </r>
    <r>
      <rPr>
        <b/>
        <sz val="13"/>
        <rFont val="Arial"/>
        <family val="2"/>
      </rPr>
      <t>(1+2+3+4+5)</t>
    </r>
  </si>
  <si>
    <t>Excedentes de Fideicomisos / Banco Nacional de Panamá</t>
  </si>
  <si>
    <t>DEPÓSITOS A PLAZO FIJO DE RIESGOS PROFESIONALES</t>
  </si>
  <si>
    <t>RESUMEN DE DEPÓSITOS A PLAZO FIJO POR BANCO, RIESGO O PROGRAMA Y COMPONENTE</t>
  </si>
  <si>
    <t>250-60010165</t>
  </si>
  <si>
    <t>250-60010174</t>
  </si>
  <si>
    <t>16-03-2023</t>
  </si>
  <si>
    <t>15-03-2030</t>
  </si>
  <si>
    <t>Nota -168-2023</t>
  </si>
  <si>
    <t>250-60010076</t>
  </si>
  <si>
    <t>NOTA -DNF.D.TES-168-2023</t>
  </si>
  <si>
    <t>250-60010110</t>
  </si>
  <si>
    <t>250-60010129</t>
  </si>
  <si>
    <t>250-60010138</t>
  </si>
  <si>
    <t>206.661.812,00</t>
  </si>
  <si>
    <t>25.338.661,38</t>
  </si>
  <si>
    <t>1.471.938,45</t>
  </si>
  <si>
    <t>746.727,26</t>
  </si>
  <si>
    <t>2.932.735,49</t>
  </si>
  <si>
    <t>15.018.698,63</t>
  </si>
  <si>
    <t>9.417.349,50</t>
  </si>
  <si>
    <t>748.315,21</t>
  </si>
  <si>
    <t>19.965.323,72</t>
  </si>
  <si>
    <t>89.124.583,51</t>
  </si>
  <si>
    <t>26.165.642,85</t>
  </si>
  <si>
    <t>9.616.231,79</t>
  </si>
  <si>
    <t>190.185.885,33</t>
  </si>
  <si>
    <t>212.511.479,74</t>
  </si>
  <si>
    <t>93.295,94</t>
  </si>
  <si>
    <t>575.136,49</t>
  </si>
  <si>
    <t>1.640.111,56</t>
  </si>
  <si>
    <t>3.125.951,70</t>
  </si>
  <si>
    <t>22.622,24</t>
  </si>
  <si>
    <t>1.066.603,51</t>
  </si>
  <si>
    <t>3.878.259,08</t>
  </si>
  <si>
    <t>8.278.042,78</t>
  </si>
  <si>
    <t>1.862.459,72</t>
  </si>
  <si>
    <t>217.654,35</t>
  </si>
  <si>
    <t>323.828,59</t>
  </si>
  <si>
    <t>540.040,98</t>
  </si>
  <si>
    <t>1.283.098,09</t>
  </si>
  <si>
    <t>25.274,19</t>
  </si>
  <si>
    <t>12.525.410,96</t>
  </si>
  <si>
    <t>11.410.404,02</t>
  </si>
  <si>
    <t>ENFERMEDAD Y MATERNIDAD</t>
  </si>
  <si>
    <t>501.016.438,35</t>
  </si>
  <si>
    <t>5.810.888,85</t>
  </si>
  <si>
    <t>58.111.305,70</t>
  </si>
  <si>
    <t>58.974,20</t>
  </si>
  <si>
    <t>23.176,31</t>
  </si>
  <si>
    <t>25.282,95</t>
  </si>
  <si>
    <t>16.044.800,00</t>
  </si>
  <si>
    <t>3.208.960,00</t>
  </si>
  <si>
    <t>3.511.276,71</t>
  </si>
  <si>
    <t>9.075.863,10</t>
  </si>
  <si>
    <t>26.218.662,58</t>
  </si>
  <si>
    <t>203.635,49</t>
  </si>
  <si>
    <t>93.683,73</t>
  </si>
  <si>
    <t>129.372,78</t>
  </si>
  <si>
    <t>1.632.731,22</t>
  </si>
  <si>
    <t>3.216.343,87</t>
  </si>
  <si>
    <t>788.223,92</t>
  </si>
  <si>
    <t>44.628,62</t>
  </si>
  <si>
    <t>7.827.974,17</t>
  </si>
  <si>
    <t>12.411.898,91</t>
  </si>
  <si>
    <t>1.417.454,50</t>
  </si>
  <si>
    <t>84.384,47</t>
  </si>
  <si>
    <t>2.788.034,46</t>
  </si>
  <si>
    <t>939.663,65</t>
  </si>
  <si>
    <t>415.526,03</t>
  </si>
  <si>
    <t>180.678,83</t>
  </si>
  <si>
    <t>12.443.167,10</t>
  </si>
  <si>
    <t>10.150.528,50</t>
  </si>
  <si>
    <t>4.112.544,23</t>
  </si>
  <si>
    <t>985.776,14</t>
  </si>
  <si>
    <t>3.094.691,06</t>
  </si>
  <si>
    <t>1.400.803,08</t>
  </si>
  <si>
    <t>95.366,06</t>
  </si>
  <si>
    <t>241.472,01</t>
  </si>
  <si>
    <t>5.751.658,12</t>
  </si>
  <si>
    <t>2.774.397,39</t>
  </si>
  <si>
    <t>2.932.188,40</t>
  </si>
  <si>
    <t>133.260.183,69</t>
  </si>
  <si>
    <t>9.722.192,40</t>
  </si>
  <si>
    <t>727.652,55</t>
  </si>
  <si>
    <t>144.852.819,81</t>
  </si>
  <si>
    <t>36.593.064,25</t>
  </si>
  <si>
    <t>69.380.711,66</t>
  </si>
  <si>
    <t>2.753.487,08</t>
  </si>
  <si>
    <t>217.177,78</t>
  </si>
  <si>
    <t>5.137.973,98</t>
  </si>
  <si>
    <t>14.247.344,84</t>
  </si>
  <si>
    <t>3.099.533,33</t>
  </si>
  <si>
    <t>427.432,20</t>
  </si>
  <si>
    <t>29.750,16</t>
  </si>
  <si>
    <t>4.339.644,96</t>
  </si>
  <si>
    <t>6.626.028,77</t>
  </si>
  <si>
    <t>N-0217-2023</t>
  </si>
  <si>
    <t>250-60010254</t>
  </si>
  <si>
    <t>NOTA DNF D.TES 207-2023</t>
  </si>
  <si>
    <t>250-60010245</t>
  </si>
  <si>
    <t>Lic. Javier A. Moreno I</t>
  </si>
  <si>
    <t>NOTA-0310-2023</t>
  </si>
  <si>
    <t>250-60010398</t>
  </si>
  <si>
    <t>NOTA 0344-2023</t>
  </si>
  <si>
    <t>644 dias</t>
  </si>
  <si>
    <t>nota - 0344-2023</t>
  </si>
  <si>
    <t>NOTA - 0362-2023</t>
  </si>
  <si>
    <t>250-60010414</t>
  </si>
  <si>
    <t>639 dias</t>
  </si>
  <si>
    <t>NOTA 0360-2023</t>
  </si>
  <si>
    <t>3653 dias</t>
  </si>
  <si>
    <t xml:space="preserve">1 año </t>
  </si>
  <si>
    <t>250-60010502</t>
  </si>
  <si>
    <t>3288 dias</t>
  </si>
  <si>
    <t>NOTA 0401-2023</t>
  </si>
  <si>
    <t>250-60010478</t>
  </si>
  <si>
    <t>250-60010487</t>
  </si>
  <si>
    <t>250-60010496</t>
  </si>
  <si>
    <t>NOTA 0369-2023</t>
  </si>
  <si>
    <t xml:space="preserve">10 años </t>
  </si>
  <si>
    <t>NOTA - 0428-2023</t>
  </si>
  <si>
    <t xml:space="preserve">2 años </t>
  </si>
  <si>
    <t>NOTA- 0437-2023</t>
  </si>
  <si>
    <t>250-60010520</t>
  </si>
  <si>
    <t>616 dias</t>
  </si>
  <si>
    <t>250-60010548</t>
  </si>
  <si>
    <t>610 dias</t>
  </si>
  <si>
    <t>IVM-Subsistema  Beneficio Definido-Substema Mixto-Ahorro Personal</t>
  </si>
  <si>
    <t>Enfermedad y Maternidad / IVM-Subsistema Exclusivamente de Beneficio Definido</t>
  </si>
  <si>
    <t>Riegos Profesionales / IVM-Subsistema Exclusivamente de Beneficio Definido</t>
  </si>
  <si>
    <t>Seguro Colectivos/Renta Vitalicia</t>
  </si>
  <si>
    <t>582 dias</t>
  </si>
  <si>
    <t>NOTA- 0520-2023</t>
  </si>
  <si>
    <t>250-60010968</t>
  </si>
  <si>
    <t>nota-0522-2023</t>
  </si>
  <si>
    <t>366 dias</t>
  </si>
  <si>
    <t>367 dias</t>
  </si>
  <si>
    <t xml:space="preserve">367 dias </t>
  </si>
  <si>
    <t>NOTA-0491-2023</t>
  </si>
  <si>
    <t>250-60010557</t>
  </si>
  <si>
    <t>602 dias</t>
  </si>
  <si>
    <t>NOTA-0472-2023</t>
  </si>
  <si>
    <t xml:space="preserve">Excedentes </t>
  </si>
  <si>
    <t xml:space="preserve">Reservas para Siniestros </t>
  </si>
  <si>
    <t>Banistmo</t>
  </si>
  <si>
    <t>Banco Aliado</t>
  </si>
  <si>
    <t>Revisado por:      ________________________________________</t>
  </si>
  <si>
    <t>Bicsa, .S.A.</t>
  </si>
  <si>
    <t>Preparado por:    _______________________________________________</t>
  </si>
  <si>
    <t>Jefe de Seccion  Analisis y Programación Financiera</t>
  </si>
  <si>
    <t>Lic. Julio Perez</t>
  </si>
  <si>
    <t>Jefe de Sección Analisis Y Programación Financiera</t>
  </si>
  <si>
    <t>Revisado por:      _____________________________________</t>
  </si>
  <si>
    <t>574 dias</t>
  </si>
  <si>
    <t>NOTA-0535-2023</t>
  </si>
  <si>
    <t>250-60010995</t>
  </si>
  <si>
    <t>570 dias</t>
  </si>
  <si>
    <t>NOTA-0548-2023</t>
  </si>
  <si>
    <t>250-60011002</t>
  </si>
  <si>
    <t>NOTA-0550-2023</t>
  </si>
  <si>
    <t>250-60011066</t>
  </si>
  <si>
    <t>548 dias</t>
  </si>
  <si>
    <t>NOTA-0585-2023</t>
  </si>
  <si>
    <t xml:space="preserve">    5.- SEGUROS COLECTIVOS-SUBSISTEMA MIXTO DE PENSIONES</t>
  </si>
  <si>
    <t>PERIODO       DEL</t>
  </si>
  <si>
    <t xml:space="preserve">PACTADO        AL </t>
  </si>
  <si>
    <t>Analista Financiero I</t>
  </si>
  <si>
    <t>Subsustema Mixto de Pesiones - Riesgo IVM</t>
  </si>
  <si>
    <t>540 dias</t>
  </si>
  <si>
    <t>NOTA 0600-2023</t>
  </si>
  <si>
    <t>250-60011084</t>
  </si>
  <si>
    <t>NOTA-0648-2023</t>
  </si>
  <si>
    <t>250-60011164</t>
  </si>
  <si>
    <t>891 dias</t>
  </si>
  <si>
    <t xml:space="preserve">Gestión Administrativa </t>
  </si>
  <si>
    <t>NOTA-0602-2023</t>
  </si>
  <si>
    <t>NOTA-0581-2023</t>
  </si>
  <si>
    <t>NOTA-0650-2023</t>
  </si>
  <si>
    <t xml:space="preserve"> POR COMPONENTE DEL SUBSISTEMA MIXTO DE PENSIONES</t>
  </si>
  <si>
    <t>IVM-Subsistema Mixto/ Ahorro Personal</t>
  </si>
  <si>
    <t xml:space="preserve">IVM-Subsistema Mixto/ Beneficio Definido </t>
  </si>
  <si>
    <t>Reserva para Siniestro de Edificio</t>
  </si>
  <si>
    <t>IVM-Subsistema Exclusivamente de Beneficio Definido /Subsistema Mixto Beneficio Definido</t>
  </si>
  <si>
    <t>29 dias</t>
  </si>
  <si>
    <t>CENTRO DE PRESTAMO</t>
  </si>
  <si>
    <t xml:space="preserve">       CENTRO DE PRESTAMO</t>
  </si>
  <si>
    <t>CENTRO DE PRESTAMOS</t>
  </si>
  <si>
    <t>NOTA-0715-2023</t>
  </si>
  <si>
    <t>505 dias</t>
  </si>
  <si>
    <t>NOTA-0685-2023</t>
  </si>
  <si>
    <t>NOTA-0788-2023</t>
  </si>
  <si>
    <t>NOTA-0754-2023</t>
  </si>
  <si>
    <t>823 dias</t>
  </si>
  <si>
    <t>NOTA-0772-2023</t>
  </si>
  <si>
    <t>NOTA-0773-2023</t>
  </si>
  <si>
    <t>849 dias</t>
  </si>
  <si>
    <t>NOTA-0712-2023</t>
  </si>
  <si>
    <t>morenjavier@hotmail.com</t>
  </si>
  <si>
    <t>250-60011253</t>
  </si>
  <si>
    <t>250-60011306</t>
  </si>
  <si>
    <t>250-60011397</t>
  </si>
  <si>
    <t>250-60011388</t>
  </si>
  <si>
    <t>806 dias</t>
  </si>
  <si>
    <t>NOTA-0827-2023</t>
  </si>
  <si>
    <t>nota-0825-2023</t>
  </si>
  <si>
    <t>814 dias</t>
  </si>
  <si>
    <t>NOTA-0794-2023</t>
  </si>
  <si>
    <t>250-60011342</t>
  </si>
  <si>
    <t>NOTA0796-2023</t>
  </si>
  <si>
    <t>816 dias</t>
  </si>
  <si>
    <t>NOTA0781-2023</t>
  </si>
  <si>
    <t>250-60011333</t>
  </si>
  <si>
    <t>845 dias</t>
  </si>
  <si>
    <t>NOTA-0783-2023</t>
  </si>
  <si>
    <t>182 dias</t>
  </si>
  <si>
    <t>786 dias</t>
  </si>
  <si>
    <t>NOTA-0858-2023</t>
  </si>
  <si>
    <t>250-60011486</t>
  </si>
  <si>
    <t>NOTA-0860-2023</t>
  </si>
  <si>
    <t>28 dias</t>
  </si>
  <si>
    <t>NOTA-0100-2024</t>
  </si>
  <si>
    <t>250-60011645</t>
  </si>
  <si>
    <t>735 dias</t>
  </si>
  <si>
    <t>NOTA-0102-2024</t>
  </si>
  <si>
    <t>250-60011878</t>
  </si>
  <si>
    <t>701 dias</t>
  </si>
  <si>
    <t>NOTA-0209-2024</t>
  </si>
  <si>
    <t>250-60011226</t>
  </si>
  <si>
    <t>NOTA-0687-2023</t>
  </si>
  <si>
    <t>NOTA-0436-2023</t>
  </si>
  <si>
    <t>1827 dias</t>
  </si>
  <si>
    <t>NOTA-0230-2024</t>
  </si>
  <si>
    <t>365 dias</t>
  </si>
  <si>
    <t>NOTA-0285-2024</t>
  </si>
  <si>
    <t>250-60012109</t>
  </si>
  <si>
    <t>672 dias</t>
  </si>
  <si>
    <t>250-60011985</t>
  </si>
  <si>
    <t>NOTA-0234-2024</t>
  </si>
  <si>
    <t>250-60011994</t>
  </si>
  <si>
    <t>312 dias</t>
  </si>
  <si>
    <t>250-60012047</t>
  </si>
  <si>
    <t>676 dias</t>
  </si>
  <si>
    <t>250-60012010</t>
  </si>
  <si>
    <t>1043 dias</t>
  </si>
  <si>
    <t>250-60012029</t>
  </si>
  <si>
    <t>1408 dias</t>
  </si>
  <si>
    <t>250-60012038</t>
  </si>
  <si>
    <t>1774 dias</t>
  </si>
  <si>
    <t>250-60011958</t>
  </si>
  <si>
    <t>730 dias</t>
  </si>
  <si>
    <t>NOTA-0232-2024</t>
  </si>
  <si>
    <t>250-60011967</t>
  </si>
  <si>
    <t>1095 dias</t>
  </si>
  <si>
    <t>250-60011976</t>
  </si>
  <si>
    <t>Seguro Colectivos/Seguro de Invalidez</t>
  </si>
  <si>
    <t xml:space="preserve">                                                                                                                                                                                                       </t>
  </si>
  <si>
    <t xml:space="preserve"> Servicios de Contabilidad</t>
  </si>
  <si>
    <t>679 dias</t>
  </si>
  <si>
    <t>NOTA-0262-2024</t>
  </si>
  <si>
    <t>250-60012065</t>
  </si>
  <si>
    <t>NOTA-0264-2024</t>
  </si>
  <si>
    <t>648 dias</t>
  </si>
  <si>
    <t>NOTA-0340-2024</t>
  </si>
  <si>
    <t>250-60012190</t>
  </si>
  <si>
    <t>250-60012261</t>
  </si>
  <si>
    <t>633 dias</t>
  </si>
  <si>
    <t>NOTA-0381-2024</t>
  </si>
  <si>
    <t>NOTA-0392-2024</t>
  </si>
  <si>
    <t>250-60012323</t>
  </si>
  <si>
    <t>3287 dias</t>
  </si>
  <si>
    <t>250-60012332</t>
  </si>
  <si>
    <t>NOTA-0418-2024</t>
  </si>
  <si>
    <t>Subsistema Mixto /Ahorro Personal</t>
  </si>
  <si>
    <t>Bac Panama</t>
  </si>
  <si>
    <t>BAC PANAMA</t>
  </si>
  <si>
    <t>70100566449</t>
  </si>
  <si>
    <t>70100566412</t>
  </si>
  <si>
    <t>03-06-2024</t>
  </si>
  <si>
    <t xml:space="preserve">    2.- EXCEDENTES (PRAA, SIACAP, PLAN BAHAMAS - OTROS)                                                    </t>
  </si>
  <si>
    <t xml:space="preserve">    - COMPRENSIVO, INCENDIO Y ROBO DE LA PÓLIZA DE AUTOMOVIL</t>
  </si>
  <si>
    <t xml:space="preserve">        -CENTRO DE PRÉSTAMOS</t>
  </si>
  <si>
    <t>Gestión Administrativa / Seguro Rv / Seguro invalidez / EYM / IVM subsistema exlusivamente de beneficio definido / subsistema mixto AP - BD / Riesgo Profesionales</t>
  </si>
  <si>
    <t>Servicios de Contabilidad</t>
  </si>
  <si>
    <t>Subsistema Mixto de Pensiones - Beneficio Definido</t>
  </si>
  <si>
    <t>Gestión Administrativa</t>
  </si>
  <si>
    <t>Gestión Administrativa - Siniestro de Automovil</t>
  </si>
  <si>
    <t>Gestión Administrativa -  Siniestro de Prestamos Hipotecarios</t>
  </si>
  <si>
    <t>Gestion Administrativa -  Siniestro de Incendio</t>
  </si>
  <si>
    <t>ADM-Seguro Colectivos - Seguro de Invalidez</t>
  </si>
  <si>
    <t>ADM-Seguro Colectivos -Renta Vitalicia</t>
  </si>
  <si>
    <t>Riesgos Profesionales/IVM EXCL./ Gestión Administrativa</t>
  </si>
  <si>
    <t>Gestión Administrativa/Enfermedad y Maternidad/ IVM-Subsistema Mixto-BD / Riesgo Profesionales</t>
  </si>
  <si>
    <t>ADM-Seguro Colectivo/Seguro de Invalidez</t>
  </si>
  <si>
    <t>ADM-Seguro Colectivo/Renta Vitalicia</t>
  </si>
  <si>
    <t>Subsistema Mixto /Beneficio Definido</t>
  </si>
  <si>
    <t>ADM-Seguro Colectivos/ Renta Vitalicia</t>
  </si>
  <si>
    <t>IVM-Subsistema Mixto/Seguro Invalidez</t>
  </si>
  <si>
    <t>IVM-Subsistema Mixto/Renta Vitalicia</t>
  </si>
  <si>
    <t>ADM-Seguro Colectivos/ Seguro de Invalidez</t>
  </si>
  <si>
    <t>IVM-Substema Mixto / Beneficio Definido/ Centro de Prestamos</t>
  </si>
  <si>
    <t>IVM-Subsistema  Beneficio Definido-Substema Mixto-Ahorro Personal /Renta Vitalicia</t>
  </si>
  <si>
    <t xml:space="preserve">IVM-Subsistema Mixto/Ahorros Personal </t>
  </si>
  <si>
    <t>IVM-Subsistema Mixto/Beneficio Definido</t>
  </si>
  <si>
    <t>IVM-Subsistema Mixto/ Ahorro Personal y Beneficio Definido</t>
  </si>
  <si>
    <t>IVM-Subsistema Mixto/Ahorro Personal  y Beneficio Definido</t>
  </si>
  <si>
    <t>IVM-Subsistema Mixto /Ahorro Personal y Beneficio Definido</t>
  </si>
  <si>
    <t>NOTA-0503-2024</t>
  </si>
  <si>
    <t>953 dias</t>
  </si>
  <si>
    <t>NOTA-0485-2024</t>
  </si>
  <si>
    <t xml:space="preserve">Gestión Administrativa - Remanente de Intereses por Mora de Salarios Básicos </t>
  </si>
  <si>
    <t>Gestión Administrativa - Reserva de Contingencia por Riesgo de Inundación</t>
  </si>
  <si>
    <t>Gestión Administrativa - Reserva de Contingencia por Siniestro de Automovil, Vida e Incendio</t>
  </si>
  <si>
    <t>Riesgo Profecionales</t>
  </si>
  <si>
    <t>Gestión Administrativa - Servicio de Contabilidad</t>
  </si>
  <si>
    <t>Enfermedad y Marternidad</t>
  </si>
  <si>
    <t>NOTA-0467-2024</t>
  </si>
  <si>
    <t>250-60012421</t>
  </si>
  <si>
    <t>NOTA-0470-2024</t>
  </si>
  <si>
    <t>180 dias</t>
  </si>
  <si>
    <t>NOTA-0476-2024</t>
  </si>
  <si>
    <t>CSS-Remanente de Intereses por Mora de salarios Basicos</t>
  </si>
  <si>
    <t>Reserva de Contingencia por Riesgo de Inundación</t>
  </si>
  <si>
    <t xml:space="preserve">Gestión Administrativa  </t>
  </si>
  <si>
    <t>Gestión Administrativa - Excedente de Administracion de Fondos del SIACAP</t>
  </si>
  <si>
    <t>Gestión Administrativa - Excedente de Administracion de Fondos del PRAA</t>
  </si>
  <si>
    <t>Gestión Administriva - Excedente de Fondos del Plan Bahamas</t>
  </si>
  <si>
    <t>Gestión Administrativa - Reserva para Siniestro de Edificio</t>
  </si>
  <si>
    <t>Gestión Administrativa - Reserva para Siniestro de Edificio / Reserva de Obra de Arte</t>
  </si>
  <si>
    <t>Gestión Administrativa - Reserva para Riesgo de Muerte e Incendio de la Cartera Hipotecaria</t>
  </si>
  <si>
    <t>Gestión Administrativa - Reserva para Riesgo de Muerte e Incendio y Robo de Poliza de Automovil</t>
  </si>
  <si>
    <t>250-60012546</t>
  </si>
  <si>
    <t>2190 dias</t>
  </si>
  <si>
    <t>NOTA0494-2024</t>
  </si>
  <si>
    <t>250-60012519</t>
  </si>
  <si>
    <t>1460 dias</t>
  </si>
  <si>
    <t>250-60012564</t>
  </si>
  <si>
    <t>1826 dias</t>
  </si>
  <si>
    <t>NOTA-0494-2024</t>
  </si>
  <si>
    <t>250-60012555</t>
  </si>
  <si>
    <t>3285 dias</t>
  </si>
  <si>
    <t>Seguro Colectivo/Renta Vitalicia</t>
  </si>
  <si>
    <t>250-60012573</t>
  </si>
  <si>
    <t>Seguro Colectivos/ Renta Vitalicia</t>
  </si>
  <si>
    <t>250-60012485</t>
  </si>
  <si>
    <t>IVM-Subsistema Mixto - Beneficio Definido</t>
  </si>
  <si>
    <t>250-60012494</t>
  </si>
  <si>
    <t>250-60012528</t>
  </si>
  <si>
    <t>250-60012537</t>
  </si>
  <si>
    <t>599 dias</t>
  </si>
  <si>
    <t>NOTA0452-2024</t>
  </si>
  <si>
    <t>250-60012412</t>
  </si>
  <si>
    <t>NOTA-0452-2024</t>
  </si>
  <si>
    <t>969 dias</t>
  </si>
  <si>
    <t>NOTA-0438-2024</t>
  </si>
  <si>
    <t>250-60012396</t>
  </si>
  <si>
    <t>NOTA-0440-2024</t>
  </si>
  <si>
    <t>08-70-2024</t>
  </si>
  <si>
    <t>963 dias</t>
  </si>
  <si>
    <t>NOTA-0457-2024</t>
  </si>
  <si>
    <t>250-60012403</t>
  </si>
  <si>
    <t>963  dias</t>
  </si>
  <si>
    <t>NOTA-0459-2024</t>
  </si>
  <si>
    <t>250-60012430</t>
  </si>
  <si>
    <t>605 dias</t>
  </si>
  <si>
    <t>NOTA-0435-2024</t>
  </si>
  <si>
    <t>250-60012387</t>
  </si>
  <si>
    <t>NOTA0437-2024</t>
  </si>
  <si>
    <t>Gestión Administrativa - Reserva de Obras de Arte</t>
  </si>
  <si>
    <t xml:space="preserve">    - RESERVA DE CONTINGENCIA POR  RIESGO DE INUNDACIÓN</t>
  </si>
  <si>
    <t>NOTA-0482-2024</t>
  </si>
  <si>
    <t>15 dias</t>
  </si>
  <si>
    <t>nota-0508-2024</t>
  </si>
  <si>
    <t>AL 31 DE JULIO  DE 2024</t>
  </si>
  <si>
    <t>1 dias</t>
  </si>
  <si>
    <t>NOTA0527-2024</t>
  </si>
  <si>
    <t>1 dia</t>
  </si>
  <si>
    <t>PERFIL DE VENCIMIENTO (en días)</t>
  </si>
  <si>
    <t>TOTAL BNP</t>
  </si>
  <si>
    <t>TOTAL SERV. CONTABILIDAD</t>
  </si>
  <si>
    <t>TOTAL CA</t>
  </si>
  <si>
    <t>TOTAL BNP + SERV. CONTAB.</t>
  </si>
  <si>
    <t>TOTAL PRIVADOS</t>
  </si>
  <si>
    <t xml:space="preserve">FECHA DE COLOCACIÓN </t>
  </si>
  <si>
    <t>FECHA DE VENCIMIENTO</t>
  </si>
  <si>
    <t>PLAZO                                  (en años)</t>
  </si>
  <si>
    <t>DEPARTAMENTO DE TESORERÍA</t>
  </si>
  <si>
    <t>MONTO                                       (en balboas)</t>
  </si>
  <si>
    <t>Depósitos Privados</t>
  </si>
  <si>
    <t>DEPARTAMENTO DE TERORERÍA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</si>
</sst>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B/.&quot;* #,##0.00_-;\-&quot;B/.&quot;* #,##0.00_-;_-&quot;B/.&quot;* &quot;-&quot;??_-;_-@_-"/>
    <numFmt numFmtId="164" formatCode="_(* #,##0.00_);_(* \(#,##0.00\);_(* &quot;-&quot;??_);_(@_)"/>
    <numFmt numFmtId="165" formatCode="&quot;$&quot;#,##0.00_);[Red]\(&quot;$&quot;#,##0.00\)"/>
    <numFmt numFmtId="166" formatCode="dd\-mm\-yyyy"/>
    <numFmt numFmtId="167" formatCode="0.000000"/>
    <numFmt numFmtId="168" formatCode="0.0000_)"/>
    <numFmt numFmtId="169" formatCode="0.000000_)"/>
    <numFmt numFmtId="170" formatCode="_(* #,##0.000_);_(* \(#,##0.000\);_(* &quot;-&quot;??_);_(@_)"/>
    <numFmt numFmtId="171" formatCode="0.00000"/>
    <numFmt numFmtId="172" formatCode="0.00_)"/>
  </numFmts>
  <fonts count="49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u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sz val="12"/>
      <color rgb="FFFFFF00"/>
      <name val="Arial"/>
      <family val="2"/>
    </font>
    <font>
      <u val="double"/>
      <sz val="12"/>
      <name val="Arial"/>
      <family val="2"/>
    </font>
    <font>
      <u/>
      <sz val="12"/>
      <color theme="1"/>
      <name val="Arial"/>
      <family val="2"/>
    </font>
    <font>
      <b/>
      <u val="double"/>
      <sz val="12"/>
      <name val="Arial"/>
      <family val="2"/>
    </font>
    <font>
      <b/>
      <sz val="12"/>
      <color indexed="8"/>
      <name val="Arial"/>
      <family val="2"/>
    </font>
    <font>
      <b/>
      <u/>
      <sz val="12"/>
      <color indexed="8"/>
      <name val="Arial"/>
      <family val="2"/>
    </font>
    <font>
      <b/>
      <sz val="12"/>
      <color indexed="10"/>
      <name val="Arial"/>
      <family val="2"/>
    </font>
    <font>
      <b/>
      <i/>
      <sz val="12"/>
      <name val="Arial"/>
      <family val="2"/>
    </font>
    <font>
      <b/>
      <u/>
      <sz val="12"/>
      <color indexed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color rgb="FFFF000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2"/>
      <color indexed="8"/>
      <name val="Arial"/>
      <family val="2"/>
    </font>
    <font>
      <b/>
      <u/>
      <sz val="9"/>
      <color indexed="8"/>
      <name val="Arial"/>
      <family val="2"/>
    </font>
    <font>
      <b/>
      <sz val="12"/>
      <color rgb="FFFF0000"/>
      <name val="Arial"/>
      <family val="2"/>
    </font>
    <font>
      <sz val="11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b/>
      <sz val="12"/>
      <color rgb="FFFFFF00"/>
      <name val="Arial"/>
      <family val="2"/>
    </font>
    <font>
      <sz val="11"/>
      <color rgb="FFFFFF00"/>
      <name val="Arial"/>
      <family val="2"/>
    </font>
    <font>
      <b/>
      <sz val="11"/>
      <color rgb="FFFFFF00"/>
      <name val="Arial"/>
      <family val="2"/>
    </font>
    <font>
      <u val="double"/>
      <sz val="11"/>
      <name val="Arial"/>
      <family val="2"/>
    </font>
    <font>
      <b/>
      <u/>
      <sz val="13"/>
      <color indexed="8"/>
      <name val="Arial"/>
      <family val="2"/>
    </font>
    <font>
      <b/>
      <sz val="13"/>
      <color indexed="8"/>
      <name val="Arial"/>
      <family val="2"/>
    </font>
    <font>
      <b/>
      <u/>
      <sz val="13"/>
      <name val="Arial"/>
      <family val="2"/>
    </font>
    <font>
      <b/>
      <sz val="13"/>
      <name val="Arial"/>
      <family val="2"/>
    </font>
    <font>
      <b/>
      <sz val="12"/>
      <color theme="1"/>
      <name val="Arial"/>
      <family val="2"/>
    </font>
    <font>
      <b/>
      <u val="double"/>
      <sz val="18"/>
      <name val="Arial"/>
      <family val="2"/>
    </font>
    <font>
      <b/>
      <sz val="14"/>
      <color rgb="FFFFFF00"/>
      <name val="Arial"/>
      <family val="2"/>
    </font>
    <font>
      <u/>
      <sz val="11"/>
      <color theme="10"/>
      <name val="Calibri"/>
      <family val="2"/>
      <scheme val="minor"/>
    </font>
    <font>
      <b/>
      <sz val="14"/>
      <color theme="1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4"/>
      <color theme="1"/>
      <name val="Arial"/>
      <family val="2"/>
    </font>
    <font>
      <sz val="14"/>
      <name val="Arial"/>
      <family val="2"/>
    </font>
    <font>
      <b/>
      <sz val="12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37" fontId="1" fillId="0" borderId="0"/>
    <xf numFmtId="37" fontId="1" fillId="0" borderId="0"/>
    <xf numFmtId="0" fontId="42" fillId="0" borderId="0" applyNumberFormat="0" applyFill="0" applyBorder="0" applyAlignment="0" applyProtection="0"/>
    <xf numFmtId="9" fontId="3" fillId="0" borderId="0" applyFont="0" applyFill="0" applyBorder="0" applyAlignment="0" applyProtection="0"/>
  </cellStyleXfs>
  <cellXfs count="873">
    <xf numFmtId="0" fontId="0" fillId="0" borderId="0" xfId="0"/>
    <xf numFmtId="37" fontId="7" fillId="2" borderId="0" xfId="4" applyFont="1" applyFill="1"/>
    <xf numFmtId="37" fontId="6" fillId="2" borderId="0" xfId="4" applyFont="1" applyFill="1"/>
    <xf numFmtId="4" fontId="7" fillId="2" borderId="0" xfId="4" applyNumberFormat="1" applyFont="1" applyFill="1"/>
    <xf numFmtId="4" fontId="6" fillId="2" borderId="0" xfId="4" applyNumberFormat="1" applyFont="1" applyFill="1" applyAlignment="1">
      <alignment vertical="center"/>
    </xf>
    <xf numFmtId="37" fontId="7" fillId="2" borderId="0" xfId="4" applyFont="1" applyFill="1" applyAlignment="1">
      <alignment horizontal="center"/>
    </xf>
    <xf numFmtId="4" fontId="7" fillId="2" borderId="0" xfId="4" applyNumberFormat="1" applyFont="1" applyFill="1" applyAlignment="1">
      <alignment vertical="center"/>
    </xf>
    <xf numFmtId="37" fontId="8" fillId="2" borderId="0" xfId="4" applyFont="1" applyFill="1" applyAlignment="1">
      <alignment horizontal="center" vertical="center"/>
    </xf>
    <xf numFmtId="37" fontId="7" fillId="2" borderId="0" xfId="4" applyFont="1" applyFill="1" applyAlignment="1">
      <alignment vertical="center"/>
    </xf>
    <xf numFmtId="37" fontId="7" fillId="0" borderId="0" xfId="4" applyFont="1"/>
    <xf numFmtId="37" fontId="6" fillId="2" borderId="0" xfId="4" applyFont="1" applyFill="1" applyAlignment="1">
      <alignment vertical="center"/>
    </xf>
    <xf numFmtId="4" fontId="7" fillId="2" borderId="0" xfId="4" applyNumberFormat="1" applyFont="1" applyFill="1" applyAlignment="1">
      <alignment vertical="top"/>
    </xf>
    <xf numFmtId="37" fontId="7" fillId="2" borderId="0" xfId="4" applyFont="1" applyFill="1" applyAlignment="1">
      <alignment vertical="top"/>
    </xf>
    <xf numFmtId="37" fontId="7" fillId="2" borderId="0" xfId="4" applyFont="1" applyFill="1" applyAlignment="1">
      <alignment horizontal="center" vertical="center"/>
    </xf>
    <xf numFmtId="39" fontId="6" fillId="2" borderId="0" xfId="4" applyNumberFormat="1" applyFont="1" applyFill="1" applyAlignment="1">
      <alignment horizontal="left" vertical="center"/>
    </xf>
    <xf numFmtId="37" fontId="6" fillId="0" borderId="0" xfId="4" applyFont="1"/>
    <xf numFmtId="4" fontId="7" fillId="0" borderId="0" xfId="4" applyNumberFormat="1" applyFont="1"/>
    <xf numFmtId="37" fontId="6" fillId="2" borderId="0" xfId="4" applyFont="1" applyFill="1" applyAlignment="1">
      <alignment vertical="top"/>
    </xf>
    <xf numFmtId="4" fontId="6" fillId="2" borderId="0" xfId="4" applyNumberFormat="1" applyFont="1" applyFill="1" applyAlignment="1">
      <alignment vertical="top" wrapText="1"/>
    </xf>
    <xf numFmtId="37" fontId="6" fillId="2" borderId="0" xfId="4" applyFont="1" applyFill="1" applyAlignment="1">
      <alignment horizontal="center" vertical="center"/>
    </xf>
    <xf numFmtId="4" fontId="7" fillId="2" borderId="0" xfId="4" applyNumberFormat="1" applyFont="1" applyFill="1" applyAlignment="1">
      <alignment horizontal="center" vertical="center"/>
    </xf>
    <xf numFmtId="4" fontId="7" fillId="2" borderId="0" xfId="4" applyNumberFormat="1" applyFont="1" applyFill="1" applyAlignment="1">
      <alignment horizontal="center" vertical="center" wrapText="1"/>
    </xf>
    <xf numFmtId="39" fontId="6" fillId="2" borderId="0" xfId="4" applyNumberFormat="1" applyFont="1" applyFill="1" applyAlignment="1">
      <alignment vertical="center" wrapText="1"/>
    </xf>
    <xf numFmtId="37" fontId="7" fillId="2" borderId="0" xfId="4" applyFont="1" applyFill="1" applyAlignment="1">
      <alignment vertical="center" wrapText="1"/>
    </xf>
    <xf numFmtId="37" fontId="7" fillId="2" borderId="0" xfId="4" applyFont="1" applyFill="1" applyAlignment="1">
      <alignment horizontal="center" vertical="center" wrapText="1"/>
    </xf>
    <xf numFmtId="37" fontId="6" fillId="2" borderId="0" xfId="4" applyFont="1" applyFill="1" applyAlignment="1">
      <alignment vertical="center" wrapText="1"/>
    </xf>
    <xf numFmtId="4" fontId="13" fillId="2" borderId="0" xfId="4" applyNumberFormat="1" applyFont="1" applyFill="1" applyAlignment="1">
      <alignment horizontal="center" vertical="center"/>
    </xf>
    <xf numFmtId="4" fontId="6" fillId="2" borderId="0" xfId="4" applyNumberFormat="1" applyFont="1" applyFill="1" applyAlignment="1">
      <alignment vertical="top"/>
    </xf>
    <xf numFmtId="39" fontId="6" fillId="2" borderId="0" xfId="4" applyNumberFormat="1" applyFont="1" applyFill="1" applyAlignment="1">
      <alignment vertical="center"/>
    </xf>
    <xf numFmtId="37" fontId="9" fillId="2" borderId="0" xfId="4" applyFont="1" applyFill="1" applyAlignment="1">
      <alignment vertical="center"/>
    </xf>
    <xf numFmtId="4" fontId="9" fillId="2" borderId="0" xfId="2" applyNumberFormat="1" applyFont="1" applyFill="1" applyBorder="1" applyAlignment="1" applyProtection="1">
      <alignment vertical="center"/>
    </xf>
    <xf numFmtId="166" fontId="6" fillId="2" borderId="0" xfId="4" applyNumberFormat="1" applyFont="1" applyFill="1" applyAlignment="1">
      <alignment horizontal="center" vertical="center"/>
    </xf>
    <xf numFmtId="4" fontId="8" fillId="2" borderId="0" xfId="2" applyNumberFormat="1" applyFont="1" applyFill="1" applyBorder="1" applyAlignment="1" applyProtection="1">
      <alignment vertical="center"/>
    </xf>
    <xf numFmtId="4" fontId="6" fillId="2" borderId="0" xfId="4" applyNumberFormat="1" applyFont="1" applyFill="1"/>
    <xf numFmtId="37" fontId="10" fillId="2" borderId="0" xfId="4" applyFont="1" applyFill="1" applyAlignment="1">
      <alignment vertical="center"/>
    </xf>
    <xf numFmtId="37" fontId="6" fillId="2" borderId="0" xfId="4" applyFont="1" applyFill="1" applyAlignment="1">
      <alignment horizontal="right" vertical="center"/>
    </xf>
    <xf numFmtId="37" fontId="6" fillId="2" borderId="15" xfId="4" applyFont="1" applyFill="1" applyBorder="1" applyAlignment="1">
      <alignment vertical="center"/>
    </xf>
    <xf numFmtId="37" fontId="6" fillId="2" borderId="14" xfId="4" applyFont="1" applyFill="1" applyBorder="1" applyAlignment="1">
      <alignment vertical="center"/>
    </xf>
    <xf numFmtId="37" fontId="6" fillId="2" borderId="10" xfId="4" applyFont="1" applyFill="1" applyBorder="1" applyAlignment="1">
      <alignment horizontal="center" vertical="center"/>
    </xf>
    <xf numFmtId="4" fontId="7" fillId="2" borderId="0" xfId="4" applyNumberFormat="1" applyFont="1" applyFill="1" applyAlignment="1">
      <alignment horizontal="center"/>
    </xf>
    <xf numFmtId="37" fontId="14" fillId="2" borderId="0" xfId="4" applyFont="1" applyFill="1" applyAlignment="1">
      <alignment horizontal="center"/>
    </xf>
    <xf numFmtId="4" fontId="14" fillId="2" borderId="0" xfId="4" applyNumberFormat="1" applyFont="1" applyFill="1" applyAlignment="1">
      <alignment horizontal="center"/>
    </xf>
    <xf numFmtId="37" fontId="15" fillId="2" borderId="0" xfId="4" applyFont="1" applyFill="1" applyAlignment="1">
      <alignment horizontal="center" vertical="center"/>
    </xf>
    <xf numFmtId="37" fontId="6" fillId="2" borderId="15" xfId="4" applyFont="1" applyFill="1" applyBorder="1" applyAlignment="1">
      <alignment horizontal="centerContinuous" vertical="center"/>
    </xf>
    <xf numFmtId="37" fontId="6" fillId="2" borderId="10" xfId="4" applyFont="1" applyFill="1" applyBorder="1" applyAlignment="1">
      <alignment horizontal="centerContinuous" vertical="center"/>
    </xf>
    <xf numFmtId="37" fontId="6" fillId="2" borderId="16" xfId="4" applyFont="1" applyFill="1" applyBorder="1" applyAlignment="1">
      <alignment horizontal="centerContinuous" vertical="center"/>
    </xf>
    <xf numFmtId="39" fontId="15" fillId="2" borderId="0" xfId="4" applyNumberFormat="1" applyFont="1" applyFill="1" applyAlignment="1">
      <alignment horizontal="center" vertical="center"/>
    </xf>
    <xf numFmtId="4" fontId="15" fillId="2" borderId="0" xfId="4" applyNumberFormat="1" applyFont="1" applyFill="1" applyAlignment="1">
      <alignment horizontal="center" vertical="center"/>
    </xf>
    <xf numFmtId="37" fontId="14" fillId="2" borderId="0" xfId="4" applyFont="1" applyFill="1"/>
    <xf numFmtId="37" fontId="6" fillId="2" borderId="8" xfId="4" applyFont="1" applyFill="1" applyBorder="1" applyAlignment="1">
      <alignment horizontal="center" vertical="center" wrapText="1"/>
    </xf>
    <xf numFmtId="37" fontId="6" fillId="2" borderId="9" xfId="4" applyFont="1" applyFill="1" applyBorder="1" applyAlignment="1">
      <alignment horizontal="centerContinuous" vertical="center" wrapText="1"/>
    </xf>
    <xf numFmtId="37" fontId="9" fillId="2" borderId="9" xfId="4" applyFont="1" applyFill="1" applyBorder="1" applyAlignment="1">
      <alignment horizontal="centerContinuous" vertical="center" wrapText="1"/>
    </xf>
    <xf numFmtId="37" fontId="6" fillId="2" borderId="6" xfId="4" applyFont="1" applyFill="1" applyBorder="1" applyAlignment="1">
      <alignment horizontal="center" vertical="center" wrapText="1"/>
    </xf>
    <xf numFmtId="4" fontId="14" fillId="2" borderId="0" xfId="4" applyNumberFormat="1" applyFont="1" applyFill="1"/>
    <xf numFmtId="37" fontId="6" fillId="2" borderId="0" xfId="4" applyFont="1" applyFill="1" applyAlignment="1">
      <alignment horizontal="centerContinuous" vertical="center"/>
    </xf>
    <xf numFmtId="39" fontId="7" fillId="2" borderId="0" xfId="4" applyNumberFormat="1" applyFont="1" applyFill="1" applyAlignment="1">
      <alignment vertical="center"/>
    </xf>
    <xf numFmtId="4" fontId="6" fillId="2" borderId="0" xfId="2" applyNumberFormat="1" applyFont="1" applyFill="1" applyBorder="1" applyAlignment="1" applyProtection="1">
      <alignment vertical="center"/>
    </xf>
    <xf numFmtId="37" fontId="14" fillId="2" borderId="0" xfId="4" applyFont="1" applyFill="1" applyAlignment="1">
      <alignment vertical="center"/>
    </xf>
    <xf numFmtId="4" fontId="14" fillId="2" borderId="0" xfId="4" applyNumberFormat="1" applyFont="1" applyFill="1" applyAlignment="1">
      <alignment vertical="center"/>
    </xf>
    <xf numFmtId="4" fontId="6" fillId="0" borderId="0" xfId="4" applyNumberFormat="1" applyFont="1"/>
    <xf numFmtId="37" fontId="6" fillId="2" borderId="4" xfId="4" applyFont="1" applyFill="1" applyBorder="1" applyAlignment="1">
      <alignment horizontal="center" vertical="center" wrapText="1"/>
    </xf>
    <xf numFmtId="37" fontId="6" fillId="2" borderId="4" xfId="4" applyFont="1" applyFill="1" applyBorder="1" applyAlignment="1">
      <alignment horizontal="centerContinuous" vertical="center" wrapText="1"/>
    </xf>
    <xf numFmtId="37" fontId="9" fillId="2" borderId="4" xfId="4" applyFont="1" applyFill="1" applyBorder="1" applyAlignment="1">
      <alignment horizontal="centerContinuous" vertical="center" wrapText="1"/>
    </xf>
    <xf numFmtId="2" fontId="6" fillId="2" borderId="0" xfId="4" applyNumberFormat="1" applyFont="1" applyFill="1" applyAlignment="1">
      <alignment horizontal="center" vertical="center"/>
    </xf>
    <xf numFmtId="4" fontId="9" fillId="2" borderId="11" xfId="4" applyNumberFormat="1" applyFont="1" applyFill="1" applyBorder="1" applyAlignment="1">
      <alignment horizontal="right" vertical="center"/>
    </xf>
    <xf numFmtId="37" fontId="7" fillId="0" borderId="0" xfId="5" applyFont="1" applyAlignment="1">
      <alignment horizontal="center" vertical="center" wrapText="1"/>
    </xf>
    <xf numFmtId="37" fontId="15" fillId="0" borderId="11" xfId="5" applyFont="1" applyBorder="1" applyAlignment="1">
      <alignment horizontal="centerContinuous" vertical="center" wrapText="1"/>
    </xf>
    <xf numFmtId="37" fontId="7" fillId="0" borderId="12" xfId="5" applyFont="1" applyBorder="1" applyAlignment="1">
      <alignment horizontal="center" vertical="center" wrapText="1"/>
    </xf>
    <xf numFmtId="37" fontId="7" fillId="0" borderId="11" xfId="5" applyFont="1" applyBorder="1" applyAlignment="1">
      <alignment horizontal="center" vertical="center" wrapText="1"/>
    </xf>
    <xf numFmtId="4" fontId="8" fillId="2" borderId="12" xfId="3" applyNumberFormat="1" applyFont="1" applyFill="1" applyBorder="1" applyAlignment="1" applyProtection="1">
      <alignment vertical="center"/>
    </xf>
    <xf numFmtId="4" fontId="8" fillId="2" borderId="11" xfId="3" applyNumberFormat="1" applyFont="1" applyFill="1" applyBorder="1" applyAlignment="1" applyProtection="1">
      <alignment vertical="center"/>
    </xf>
    <xf numFmtId="4" fontId="8" fillId="2" borderId="11" xfId="5" quotePrefix="1" applyNumberFormat="1" applyFont="1" applyFill="1" applyBorder="1" applyAlignment="1">
      <alignment horizontal="right" vertical="center"/>
    </xf>
    <xf numFmtId="4" fontId="7" fillId="2" borderId="12" xfId="3" applyNumberFormat="1" applyFont="1" applyFill="1" applyBorder="1" applyAlignment="1" applyProtection="1">
      <alignment vertical="center"/>
    </xf>
    <xf numFmtId="4" fontId="7" fillId="2" borderId="11" xfId="3" applyNumberFormat="1" applyFont="1" applyFill="1" applyBorder="1" applyAlignment="1" applyProtection="1">
      <alignment vertical="center"/>
    </xf>
    <xf numFmtId="37" fontId="7" fillId="2" borderId="12" xfId="5" quotePrefix="1" applyFont="1" applyFill="1" applyBorder="1" applyAlignment="1">
      <alignment horizontal="center" vertical="center"/>
    </xf>
    <xf numFmtId="4" fontId="7" fillId="2" borderId="9" xfId="3" applyNumberFormat="1" applyFont="1" applyFill="1" applyBorder="1" applyAlignment="1" applyProtection="1">
      <alignment vertical="center"/>
    </xf>
    <xf numFmtId="37" fontId="7" fillId="2" borderId="9" xfId="5" quotePrefix="1" applyFont="1" applyFill="1" applyBorder="1" applyAlignment="1">
      <alignment horizontal="center" vertical="center"/>
    </xf>
    <xf numFmtId="4" fontId="7" fillId="2" borderId="6" xfId="3" applyNumberFormat="1" applyFont="1" applyFill="1" applyBorder="1" applyAlignment="1" applyProtection="1">
      <alignment vertical="center"/>
    </xf>
    <xf numFmtId="37" fontId="7" fillId="2" borderId="0" xfId="5" applyFont="1" applyFill="1" applyAlignment="1">
      <alignment horizontal="center"/>
    </xf>
    <xf numFmtId="37" fontId="7" fillId="2" borderId="0" xfId="5" applyFont="1" applyFill="1"/>
    <xf numFmtId="4" fontId="17" fillId="0" borderId="0" xfId="5" applyNumberFormat="1" applyFont="1"/>
    <xf numFmtId="4" fontId="7" fillId="0" borderId="0" xfId="5" applyNumberFormat="1" applyFont="1" applyAlignment="1">
      <alignment horizontal="center"/>
    </xf>
    <xf numFmtId="37" fontId="7" fillId="0" borderId="0" xfId="5" applyFont="1" applyAlignment="1">
      <alignment horizontal="center"/>
    </xf>
    <xf numFmtId="37" fontId="14" fillId="0" borderId="0" xfId="5" applyFont="1" applyAlignment="1">
      <alignment horizontal="center"/>
    </xf>
    <xf numFmtId="4" fontId="7" fillId="0" borderId="0" xfId="5" applyNumberFormat="1" applyFont="1"/>
    <xf numFmtId="37" fontId="7" fillId="0" borderId="0" xfId="5" applyFont="1"/>
    <xf numFmtId="4" fontId="18" fillId="2" borderId="0" xfId="3" applyNumberFormat="1" applyFont="1" applyFill="1" applyBorder="1" applyAlignment="1" applyProtection="1"/>
    <xf numFmtId="4" fontId="16" fillId="2" borderId="0" xfId="5" applyNumberFormat="1" applyFont="1" applyFill="1"/>
    <xf numFmtId="37" fontId="16" fillId="2" borderId="0" xfId="5" applyFont="1" applyFill="1"/>
    <xf numFmtId="4" fontId="16" fillId="2" borderId="0" xfId="5" applyNumberFormat="1" applyFont="1" applyFill="1" applyAlignment="1">
      <alignment vertical="center"/>
    </xf>
    <xf numFmtId="4" fontId="16" fillId="2" borderId="0" xfId="5" applyNumberFormat="1" applyFont="1" applyFill="1" applyAlignment="1">
      <alignment vertical="top"/>
    </xf>
    <xf numFmtId="4" fontId="18" fillId="2" borderId="0" xfId="3" applyNumberFormat="1" applyFont="1" applyFill="1" applyBorder="1" applyAlignment="1" applyProtection="1">
      <alignment vertical="top"/>
    </xf>
    <xf numFmtId="37" fontId="16" fillId="2" borderId="0" xfId="5" applyFont="1" applyFill="1" applyAlignment="1">
      <alignment vertical="top"/>
    </xf>
    <xf numFmtId="4" fontId="7" fillId="2" borderId="0" xfId="5" applyNumberFormat="1" applyFont="1" applyFill="1"/>
    <xf numFmtId="4" fontId="7" fillId="2" borderId="0" xfId="5" applyNumberFormat="1" applyFont="1" applyFill="1" applyAlignment="1">
      <alignment horizontal="center" vertical="center"/>
    </xf>
    <xf numFmtId="37" fontId="7" fillId="2" borderId="0" xfId="5" applyFont="1" applyFill="1" applyAlignment="1">
      <alignment horizontal="center" vertical="center"/>
    </xf>
    <xf numFmtId="37" fontId="14" fillId="0" borderId="0" xfId="5" applyFont="1" applyAlignment="1">
      <alignment horizontal="centerContinuous" vertical="center" wrapText="1"/>
    </xf>
    <xf numFmtId="2" fontId="8" fillId="2" borderId="12" xfId="5" applyNumberFormat="1" applyFont="1" applyFill="1" applyBorder="1" applyAlignment="1">
      <alignment horizontal="center" vertical="center"/>
    </xf>
    <xf numFmtId="37" fontId="6" fillId="2" borderId="0" xfId="4" applyFont="1" applyFill="1" applyAlignment="1">
      <alignment horizontal="left" vertical="center" wrapText="1"/>
    </xf>
    <xf numFmtId="37" fontId="7" fillId="2" borderId="13" xfId="4" applyFont="1" applyFill="1" applyBorder="1" applyAlignment="1">
      <alignment horizontal="left" vertical="center"/>
    </xf>
    <xf numFmtId="37" fontId="7" fillId="2" borderId="13" xfId="4" applyFont="1" applyFill="1" applyBorder="1" applyAlignment="1">
      <alignment horizontal="left" vertical="top"/>
    </xf>
    <xf numFmtId="37" fontId="7" fillId="2" borderId="13" xfId="4" applyFont="1" applyFill="1" applyBorder="1" applyAlignment="1">
      <alignment horizontal="left"/>
    </xf>
    <xf numFmtId="37" fontId="8" fillId="2" borderId="13" xfId="4" applyFont="1" applyFill="1" applyBorder="1" applyAlignment="1">
      <alignment horizontal="left" vertical="center"/>
    </xf>
    <xf numFmtId="37" fontId="6" fillId="2" borderId="0" xfId="4" applyFont="1" applyFill="1" applyAlignment="1">
      <alignment horizontal="center"/>
    </xf>
    <xf numFmtId="4" fontId="11" fillId="2" borderId="0" xfId="4" applyNumberFormat="1" applyFont="1" applyFill="1" applyAlignment="1">
      <alignment horizontal="center" vertical="center"/>
    </xf>
    <xf numFmtId="37" fontId="6" fillId="2" borderId="8" xfId="4" applyFont="1" applyFill="1" applyBorder="1" applyAlignment="1">
      <alignment horizontal="center" vertical="center"/>
    </xf>
    <xf numFmtId="37" fontId="6" fillId="2" borderId="7" xfId="4" applyFont="1" applyFill="1" applyBorder="1" applyAlignment="1">
      <alignment horizontal="center" vertical="center"/>
    </xf>
    <xf numFmtId="37" fontId="6" fillId="2" borderId="6" xfId="4" applyFont="1" applyFill="1" applyBorder="1" applyAlignment="1">
      <alignment horizontal="center" vertical="center"/>
    </xf>
    <xf numFmtId="4" fontId="6" fillId="2" borderId="0" xfId="4" applyNumberFormat="1" applyFont="1" applyFill="1" applyAlignment="1">
      <alignment horizontal="center" vertical="center"/>
    </xf>
    <xf numFmtId="37" fontId="6" fillId="2" borderId="13" xfId="4" applyFont="1" applyFill="1" applyBorder="1" applyAlignment="1">
      <alignment vertical="center"/>
    </xf>
    <xf numFmtId="37" fontId="7" fillId="2" borderId="1" xfId="4" applyFont="1" applyFill="1" applyBorder="1" applyAlignment="1">
      <alignment vertical="center"/>
    </xf>
    <xf numFmtId="37" fontId="7" fillId="2" borderId="0" xfId="4" applyFont="1" applyFill="1" applyAlignment="1">
      <alignment horizontal="left" vertical="center"/>
    </xf>
    <xf numFmtId="37" fontId="14" fillId="2" borderId="1" xfId="4" applyFont="1" applyFill="1" applyBorder="1" applyAlignment="1">
      <alignment vertical="center"/>
    </xf>
    <xf numFmtId="37" fontId="7" fillId="2" borderId="0" xfId="5" applyFont="1" applyFill="1" applyAlignment="1">
      <alignment horizontal="left" vertical="center"/>
    </xf>
    <xf numFmtId="37" fontId="7" fillId="2" borderId="0" xfId="4" quotePrefix="1" applyFont="1" applyFill="1" applyAlignment="1">
      <alignment horizontal="left" vertical="center"/>
    </xf>
    <xf numFmtId="37" fontId="21" fillId="2" borderId="13" xfId="4" applyFont="1" applyFill="1" applyBorder="1" applyAlignment="1">
      <alignment horizontal="center" vertical="center"/>
    </xf>
    <xf numFmtId="37" fontId="19" fillId="2" borderId="13" xfId="4" applyFont="1" applyFill="1" applyBorder="1" applyAlignment="1">
      <alignment vertical="center"/>
    </xf>
    <xf numFmtId="37" fontId="19" fillId="2" borderId="0" xfId="4" applyFont="1" applyFill="1" applyAlignment="1">
      <alignment vertical="center"/>
    </xf>
    <xf numFmtId="37" fontId="19" fillId="2" borderId="7" xfId="4" applyFont="1" applyFill="1" applyBorder="1" applyAlignment="1">
      <alignment horizontal="center" vertical="center" wrapText="1"/>
    </xf>
    <xf numFmtId="37" fontId="6" fillId="2" borderId="11" xfId="4" applyFont="1" applyFill="1" applyBorder="1" applyAlignment="1">
      <alignment horizontal="center" vertical="center"/>
    </xf>
    <xf numFmtId="37" fontId="6" fillId="2" borderId="9" xfId="4" applyFont="1" applyFill="1" applyBorder="1" applyAlignment="1">
      <alignment horizontal="center" vertical="center" wrapText="1"/>
    </xf>
    <xf numFmtId="37" fontId="6" fillId="2" borderId="0" xfId="4" applyFont="1" applyFill="1" applyAlignment="1">
      <alignment horizontal="left" vertical="center"/>
    </xf>
    <xf numFmtId="4" fontId="23" fillId="0" borderId="0" xfId="5" applyNumberFormat="1" applyFont="1" applyAlignment="1">
      <alignment horizontal="center" vertical="center"/>
    </xf>
    <xf numFmtId="37" fontId="14" fillId="0" borderId="0" xfId="5" applyFont="1" applyAlignment="1">
      <alignment horizontal="center" vertical="center"/>
    </xf>
    <xf numFmtId="37" fontId="7" fillId="0" borderId="0" xfId="5" applyFont="1" applyAlignment="1">
      <alignment horizontal="center" vertical="center"/>
    </xf>
    <xf numFmtId="4" fontId="6" fillId="2" borderId="11" xfId="5" quotePrefix="1" applyNumberFormat="1" applyFont="1" applyFill="1" applyBorder="1" applyAlignment="1">
      <alignment horizontal="right" vertical="center"/>
    </xf>
    <xf numFmtId="4" fontId="6" fillId="2" borderId="12" xfId="3" applyNumberFormat="1" applyFont="1" applyFill="1" applyBorder="1" applyAlignment="1" applyProtection="1">
      <alignment vertical="center"/>
    </xf>
    <xf numFmtId="4" fontId="6" fillId="2" borderId="6" xfId="5" quotePrefix="1" applyNumberFormat="1" applyFont="1" applyFill="1" applyBorder="1" applyAlignment="1">
      <alignment horizontal="right" vertical="center"/>
    </xf>
    <xf numFmtId="4" fontId="6" fillId="2" borderId="9" xfId="3" applyNumberFormat="1" applyFont="1" applyFill="1" applyBorder="1" applyAlignment="1" applyProtection="1">
      <alignment vertical="center"/>
    </xf>
    <xf numFmtId="2" fontId="6" fillId="2" borderId="12" xfId="5" applyNumberFormat="1" applyFont="1" applyFill="1" applyBorder="1" applyAlignment="1">
      <alignment horizontal="center" vertical="center"/>
    </xf>
    <xf numFmtId="2" fontId="6" fillId="2" borderId="9" xfId="5" applyNumberFormat="1" applyFont="1" applyFill="1" applyBorder="1" applyAlignment="1">
      <alignment horizontal="center" vertical="center"/>
    </xf>
    <xf numFmtId="4" fontId="6" fillId="2" borderId="0" xfId="4" applyNumberFormat="1" applyFont="1" applyFill="1" applyAlignment="1">
      <alignment horizontal="left" vertical="center"/>
    </xf>
    <xf numFmtId="166" fontId="6" fillId="0" borderId="4" xfId="4" applyNumberFormat="1" applyFont="1" applyBorder="1" applyAlignment="1">
      <alignment horizontal="center" vertical="center"/>
    </xf>
    <xf numFmtId="166" fontId="6" fillId="0" borderId="5" xfId="4" applyNumberFormat="1" applyFont="1" applyBorder="1" applyAlignment="1">
      <alignment horizontal="center" vertical="center"/>
    </xf>
    <xf numFmtId="4" fontId="6" fillId="0" borderId="4" xfId="2" applyNumberFormat="1" applyFont="1" applyFill="1" applyBorder="1" applyAlignment="1" applyProtection="1">
      <alignment vertical="center"/>
    </xf>
    <xf numFmtId="1" fontId="6" fillId="0" borderId="4" xfId="4" applyNumberFormat="1" applyFont="1" applyBorder="1" applyAlignment="1">
      <alignment horizontal="center" vertical="center" wrapText="1"/>
    </xf>
    <xf numFmtId="168" fontId="6" fillId="0" borderId="4" xfId="2" applyNumberFormat="1" applyFont="1" applyFill="1" applyBorder="1" applyAlignment="1" applyProtection="1">
      <alignment horizontal="center" vertical="center"/>
    </xf>
    <xf numFmtId="37" fontId="6" fillId="2" borderId="4" xfId="4" applyFont="1" applyFill="1" applyBorder="1" applyAlignment="1">
      <alignment vertical="center"/>
    </xf>
    <xf numFmtId="37" fontId="6" fillId="0" borderId="0" xfId="4" applyFont="1" applyAlignment="1">
      <alignment horizontal="center"/>
    </xf>
    <xf numFmtId="37" fontId="27" fillId="2" borderId="0" xfId="4" applyFont="1" applyFill="1" applyAlignment="1">
      <alignment vertical="center"/>
    </xf>
    <xf numFmtId="37" fontId="7" fillId="0" borderId="0" xfId="4" applyFont="1" applyAlignment="1">
      <alignment wrapText="1"/>
    </xf>
    <xf numFmtId="37" fontId="27" fillId="2" borderId="13" xfId="4" applyFont="1" applyFill="1" applyBorder="1" applyAlignment="1">
      <alignment horizontal="left" vertical="center"/>
    </xf>
    <xf numFmtId="4" fontId="0" fillId="0" borderId="0" xfId="0" applyNumberFormat="1"/>
    <xf numFmtId="1" fontId="4" fillId="2" borderId="4" xfId="0" applyNumberFormat="1" applyFont="1" applyFill="1" applyBorder="1" applyAlignment="1">
      <alignment horizontal="center" vertical="center"/>
    </xf>
    <xf numFmtId="166" fontId="6" fillId="2" borderId="4" xfId="4" applyNumberFormat="1" applyFont="1" applyFill="1" applyBorder="1" applyAlignment="1">
      <alignment horizontal="center" vertical="center"/>
    </xf>
    <xf numFmtId="166" fontId="6" fillId="2" borderId="4" xfId="4" quotePrefix="1" applyNumberFormat="1" applyFont="1" applyFill="1" applyBorder="1" applyAlignment="1">
      <alignment horizontal="center" vertical="center"/>
    </xf>
    <xf numFmtId="4" fontId="6" fillId="2" borderId="4" xfId="2" applyNumberFormat="1" applyFont="1" applyFill="1" applyBorder="1" applyAlignment="1" applyProtection="1">
      <alignment vertical="center"/>
    </xf>
    <xf numFmtId="37" fontId="30" fillId="2" borderId="13" xfId="4" applyFont="1" applyFill="1" applyBorder="1" applyAlignment="1">
      <alignment horizontal="left" vertical="top"/>
    </xf>
    <xf numFmtId="37" fontId="30" fillId="2" borderId="0" xfId="4" applyFont="1" applyFill="1" applyAlignment="1">
      <alignment vertical="top"/>
    </xf>
    <xf numFmtId="37" fontId="30" fillId="2" borderId="0" xfId="4" applyFont="1" applyFill="1" applyAlignment="1">
      <alignment vertical="top" wrapText="1"/>
    </xf>
    <xf numFmtId="37" fontId="30" fillId="2" borderId="13" xfId="4" applyFont="1" applyFill="1" applyBorder="1" applyAlignment="1">
      <alignment horizontal="center" vertical="center"/>
    </xf>
    <xf numFmtId="37" fontId="30" fillId="2" borderId="0" xfId="4" applyFont="1" applyFill="1"/>
    <xf numFmtId="37" fontId="30" fillId="2" borderId="13" xfId="4" applyFont="1" applyFill="1" applyBorder="1" applyAlignment="1">
      <alignment horizontal="left" vertical="center"/>
    </xf>
    <xf numFmtId="37" fontId="30" fillId="2" borderId="13" xfId="4" applyFont="1" applyFill="1" applyBorder="1"/>
    <xf numFmtId="37" fontId="30" fillId="2" borderId="13" xfId="4" applyFont="1" applyFill="1" applyBorder="1" applyAlignment="1">
      <alignment horizontal="left"/>
    </xf>
    <xf numFmtId="37" fontId="30" fillId="2" borderId="0" xfId="5" applyFont="1" applyFill="1" applyAlignment="1">
      <alignment vertical="center"/>
    </xf>
    <xf numFmtId="4" fontId="30" fillId="2" borderId="0" xfId="4" applyNumberFormat="1" applyFont="1" applyFill="1"/>
    <xf numFmtId="37" fontId="28" fillId="2" borderId="0" xfId="4" applyFont="1" applyFill="1" applyAlignment="1">
      <alignment horizontal="left" vertical="center"/>
    </xf>
    <xf numFmtId="37" fontId="28" fillId="2" borderId="0" xfId="4" applyFont="1" applyFill="1" applyAlignment="1">
      <alignment vertical="center"/>
    </xf>
    <xf numFmtId="37" fontId="28" fillId="2" borderId="0" xfId="4" applyFont="1" applyFill="1"/>
    <xf numFmtId="37" fontId="30" fillId="2" borderId="0" xfId="4" applyFont="1" applyFill="1" applyAlignment="1">
      <alignment vertical="center"/>
    </xf>
    <xf numFmtId="37" fontId="28" fillId="2" borderId="0" xfId="5" applyFont="1" applyFill="1" applyAlignment="1">
      <alignment vertical="center"/>
    </xf>
    <xf numFmtId="4" fontId="28" fillId="2" borderId="0" xfId="4" applyNumberFormat="1" applyFont="1" applyFill="1" applyAlignment="1">
      <alignment vertical="center"/>
    </xf>
    <xf numFmtId="4" fontId="8" fillId="2" borderId="12" xfId="5" quotePrefix="1" applyNumberFormat="1" applyFont="1" applyFill="1" applyBorder="1" applyAlignment="1">
      <alignment horizontal="right" vertical="center"/>
    </xf>
    <xf numFmtId="166" fontId="4" fillId="2" borderId="4" xfId="4" applyNumberFormat="1" applyFont="1" applyFill="1" applyBorder="1" applyAlignment="1">
      <alignment horizontal="center" vertical="center"/>
    </xf>
    <xf numFmtId="166" fontId="4" fillId="2" borderId="4" xfId="4" quotePrefix="1" applyNumberFormat="1" applyFont="1" applyFill="1" applyBorder="1" applyAlignment="1">
      <alignment horizontal="center" vertical="center"/>
    </xf>
    <xf numFmtId="4" fontId="4" fillId="2" borderId="4" xfId="2" applyNumberFormat="1" applyFont="1" applyFill="1" applyBorder="1" applyAlignment="1" applyProtection="1">
      <alignment vertical="center"/>
    </xf>
    <xf numFmtId="169" fontId="6" fillId="2" borderId="4" xfId="2" quotePrefix="1" applyNumberFormat="1" applyFont="1" applyFill="1" applyBorder="1" applyAlignment="1" applyProtection="1">
      <alignment horizontal="center" vertical="center"/>
    </xf>
    <xf numFmtId="169" fontId="4" fillId="2" borderId="4" xfId="2" quotePrefix="1" applyNumberFormat="1" applyFont="1" applyFill="1" applyBorder="1" applyAlignment="1" applyProtection="1">
      <alignment horizontal="center" vertical="center"/>
    </xf>
    <xf numFmtId="37" fontId="28" fillId="2" borderId="0" xfId="4" applyFont="1" applyFill="1" applyAlignment="1">
      <alignment horizontal="center" vertical="top"/>
    </xf>
    <xf numFmtId="37" fontId="28" fillId="2" borderId="0" xfId="4" applyFont="1" applyFill="1" applyAlignment="1">
      <alignment horizontal="center" vertical="center"/>
    </xf>
    <xf numFmtId="37" fontId="28" fillId="2" borderId="0" xfId="4" applyFont="1" applyFill="1" applyAlignment="1">
      <alignment horizontal="center" vertical="center" wrapText="1"/>
    </xf>
    <xf numFmtId="37" fontId="31" fillId="2" borderId="0" xfId="4" applyFont="1" applyFill="1" applyAlignment="1">
      <alignment vertical="center"/>
    </xf>
    <xf numFmtId="37" fontId="32" fillId="2" borderId="0" xfId="4" applyFont="1" applyFill="1" applyAlignment="1">
      <alignment vertical="center"/>
    </xf>
    <xf numFmtId="1" fontId="4" fillId="2" borderId="0" xfId="0" applyNumberFormat="1" applyFont="1" applyFill="1" applyAlignment="1">
      <alignment horizontal="center" vertical="center"/>
    </xf>
    <xf numFmtId="166" fontId="6" fillId="2" borderId="7" xfId="4" applyNumberFormat="1" applyFont="1" applyFill="1" applyBorder="1" applyAlignment="1">
      <alignment horizontal="center" vertical="center"/>
    </xf>
    <xf numFmtId="1" fontId="6" fillId="2" borderId="4" xfId="4" applyNumberFormat="1" applyFont="1" applyFill="1" applyBorder="1" applyAlignment="1">
      <alignment horizontal="center" vertical="center"/>
    </xf>
    <xf numFmtId="167" fontId="6" fillId="2" borderId="4" xfId="2" applyNumberFormat="1" applyFont="1" applyFill="1" applyBorder="1" applyAlignment="1" applyProtection="1">
      <alignment horizontal="center" vertical="center"/>
    </xf>
    <xf numFmtId="4" fontId="6" fillId="2" borderId="2" xfId="2" applyNumberFormat="1" applyFont="1" applyFill="1" applyBorder="1" applyAlignment="1" applyProtection="1">
      <alignment vertical="center"/>
    </xf>
    <xf numFmtId="0" fontId="4" fillId="2" borderId="0" xfId="0" applyFont="1" applyFill="1" applyAlignment="1">
      <alignment vertical="center"/>
    </xf>
    <xf numFmtId="1" fontId="6" fillId="2" borderId="4" xfId="0" applyNumberFormat="1" applyFont="1" applyFill="1" applyBorder="1" applyAlignment="1">
      <alignment horizontal="center" vertical="center"/>
    </xf>
    <xf numFmtId="37" fontId="6" fillId="2" borderId="4" xfId="4" applyFont="1" applyFill="1" applyBorder="1" applyAlignment="1">
      <alignment horizontal="left" vertical="center" wrapText="1"/>
    </xf>
    <xf numFmtId="169" fontId="6" fillId="2" borderId="4" xfId="2" applyNumberFormat="1" applyFont="1" applyFill="1" applyBorder="1" applyAlignment="1" applyProtection="1">
      <alignment horizontal="center" vertical="center"/>
    </xf>
    <xf numFmtId="37" fontId="7" fillId="2" borderId="13" xfId="4" quotePrefix="1" applyFont="1" applyFill="1" applyBorder="1" applyAlignment="1">
      <alignment horizontal="left" vertical="center"/>
    </xf>
    <xf numFmtId="1" fontId="6" fillId="2" borderId="4" xfId="0" applyNumberFormat="1" applyFont="1" applyFill="1" applyBorder="1" applyAlignment="1">
      <alignment horizontal="left" vertical="center"/>
    </xf>
    <xf numFmtId="166" fontId="6" fillId="2" borderId="4" xfId="4" applyNumberFormat="1" applyFont="1" applyFill="1" applyBorder="1" applyAlignment="1">
      <alignment horizontal="center" vertical="center" wrapText="1"/>
    </xf>
    <xf numFmtId="4" fontId="8" fillId="2" borderId="0" xfId="4" applyNumberFormat="1" applyFont="1" applyFill="1" applyAlignment="1">
      <alignment horizontal="right" vertical="center"/>
    </xf>
    <xf numFmtId="166" fontId="6" fillId="2" borderId="3" xfId="4" applyNumberFormat="1" applyFont="1" applyFill="1" applyBorder="1" applyAlignment="1">
      <alignment horizontal="center" vertical="center"/>
    </xf>
    <xf numFmtId="1" fontId="6" fillId="2" borderId="13" xfId="4" applyNumberFormat="1" applyFont="1" applyFill="1" applyBorder="1" applyAlignment="1">
      <alignment vertical="center"/>
    </xf>
    <xf numFmtId="167" fontId="6" fillId="2" borderId="11" xfId="2" applyNumberFormat="1" applyFont="1" applyFill="1" applyBorder="1" applyAlignment="1" applyProtection="1">
      <alignment horizontal="center" vertical="center"/>
    </xf>
    <xf numFmtId="166" fontId="6" fillId="2" borderId="0" xfId="4" quotePrefix="1" applyNumberFormat="1" applyFont="1" applyFill="1" applyAlignment="1">
      <alignment horizontal="center" vertical="center"/>
    </xf>
    <xf numFmtId="4" fontId="5" fillId="2" borderId="0" xfId="2" applyNumberFormat="1" applyFont="1" applyFill="1" applyBorder="1" applyAlignment="1" applyProtection="1">
      <alignment vertical="center"/>
    </xf>
    <xf numFmtId="166" fontId="6" fillId="2" borderId="3" xfId="4" quotePrefix="1" applyNumberFormat="1" applyFont="1" applyFill="1" applyBorder="1" applyAlignment="1">
      <alignment horizontal="center" vertical="center"/>
    </xf>
    <xf numFmtId="166" fontId="6" fillId="2" borderId="2" xfId="4" applyNumberFormat="1" applyFont="1" applyFill="1" applyBorder="1" applyAlignment="1">
      <alignment horizontal="center" vertical="center"/>
    </xf>
    <xf numFmtId="167" fontId="6" fillId="2" borderId="0" xfId="2" applyNumberFormat="1" applyFont="1" applyFill="1" applyBorder="1" applyAlignment="1" applyProtection="1">
      <alignment horizontal="center" vertical="center"/>
    </xf>
    <xf numFmtId="1" fontId="9" fillId="2" borderId="13" xfId="0" applyNumberFormat="1" applyFont="1" applyFill="1" applyBorder="1" applyAlignment="1">
      <alignment horizontal="left" vertical="center"/>
    </xf>
    <xf numFmtId="37" fontId="7" fillId="2" borderId="15" xfId="4" applyFont="1" applyFill="1" applyBorder="1" applyAlignment="1">
      <alignment vertical="center"/>
    </xf>
    <xf numFmtId="37" fontId="7" fillId="2" borderId="14" xfId="4" applyFont="1" applyFill="1" applyBorder="1" applyAlignment="1">
      <alignment vertical="center"/>
    </xf>
    <xf numFmtId="37" fontId="7" fillId="2" borderId="14" xfId="4" applyFont="1" applyFill="1" applyBorder="1" applyAlignment="1">
      <alignment horizontal="right" vertical="center"/>
    </xf>
    <xf numFmtId="37" fontId="6" fillId="2" borderId="14" xfId="4" applyFont="1" applyFill="1" applyBorder="1" applyAlignment="1">
      <alignment horizontal="center" vertical="center"/>
    </xf>
    <xf numFmtId="4" fontId="13" fillId="2" borderId="14" xfId="4" applyNumberFormat="1" applyFont="1" applyFill="1" applyBorder="1" applyAlignment="1">
      <alignment horizontal="right" vertical="center"/>
    </xf>
    <xf numFmtId="169" fontId="6" fillId="2" borderId="10" xfId="4" applyNumberFormat="1" applyFont="1" applyFill="1" applyBorder="1" applyAlignment="1">
      <alignment horizontal="center" vertical="center"/>
    </xf>
    <xf numFmtId="169" fontId="6" fillId="2" borderId="11" xfId="4" applyNumberFormat="1" applyFont="1" applyFill="1" applyBorder="1" applyAlignment="1">
      <alignment horizontal="center" vertical="center"/>
    </xf>
    <xf numFmtId="44" fontId="0" fillId="0" borderId="0" xfId="0" applyNumberFormat="1"/>
    <xf numFmtId="1" fontId="0" fillId="0" borderId="0" xfId="0" applyNumberFormat="1"/>
    <xf numFmtId="4" fontId="13" fillId="2" borderId="0" xfId="4" applyNumberFormat="1" applyFont="1" applyFill="1" applyAlignment="1">
      <alignment horizontal="right" vertical="center"/>
    </xf>
    <xf numFmtId="1" fontId="6" fillId="2" borderId="4" xfId="4" applyNumberFormat="1" applyFont="1" applyFill="1" applyBorder="1" applyAlignment="1">
      <alignment horizontal="center" vertical="center" wrapText="1"/>
    </xf>
    <xf numFmtId="37" fontId="4" fillId="2" borderId="14" xfId="4" applyFont="1" applyFill="1" applyBorder="1" applyAlignment="1">
      <alignment vertical="center"/>
    </xf>
    <xf numFmtId="14" fontId="28" fillId="2" borderId="13" xfId="5" applyNumberFormat="1" applyFont="1" applyFill="1" applyBorder="1" applyAlignment="1">
      <alignment horizontal="left" vertical="center"/>
    </xf>
    <xf numFmtId="37" fontId="28" fillId="2" borderId="11" xfId="5" applyFont="1" applyFill="1" applyBorder="1" applyAlignment="1">
      <alignment vertical="center"/>
    </xf>
    <xf numFmtId="1" fontId="0" fillId="0" borderId="4" xfId="0" applyNumberFormat="1" applyBorder="1"/>
    <xf numFmtId="44" fontId="0" fillId="0" borderId="4" xfId="0" applyNumberFormat="1" applyBorder="1"/>
    <xf numFmtId="4" fontId="8" fillId="0" borderId="11" xfId="5" quotePrefix="1" applyNumberFormat="1" applyFont="1" applyBorder="1" applyAlignment="1">
      <alignment horizontal="right" vertical="center"/>
    </xf>
    <xf numFmtId="4" fontId="8" fillId="0" borderId="12" xfId="3" applyNumberFormat="1" applyFont="1" applyFill="1" applyBorder="1" applyAlignment="1" applyProtection="1">
      <alignment vertical="center"/>
    </xf>
    <xf numFmtId="4" fontId="8" fillId="0" borderId="11" xfId="3" applyNumberFormat="1" applyFont="1" applyFill="1" applyBorder="1" applyAlignment="1" applyProtection="1">
      <alignment vertical="center"/>
    </xf>
    <xf numFmtId="4" fontId="7" fillId="0" borderId="0" xfId="5" applyNumberFormat="1" applyFont="1" applyAlignment="1">
      <alignment vertical="center"/>
    </xf>
    <xf numFmtId="37" fontId="7" fillId="0" borderId="0" xfId="5" applyFont="1" applyAlignment="1">
      <alignment vertical="center"/>
    </xf>
    <xf numFmtId="37" fontId="14" fillId="0" borderId="0" xfId="5" applyFont="1" applyAlignment="1">
      <alignment vertical="center"/>
    </xf>
    <xf numFmtId="4" fontId="7" fillId="0" borderId="0" xfId="5" applyNumberFormat="1" applyFont="1" applyAlignment="1">
      <alignment horizontal="left" vertical="center"/>
    </xf>
    <xf numFmtId="4" fontId="8" fillId="0" borderId="0" xfId="3" applyNumberFormat="1" applyFont="1" applyFill="1" applyBorder="1" applyAlignment="1" applyProtection="1"/>
    <xf numFmtId="49" fontId="25" fillId="0" borderId="0" xfId="5" applyNumberFormat="1" applyFont="1" applyAlignment="1">
      <alignment horizontal="left" vertical="center"/>
    </xf>
    <xf numFmtId="4" fontId="6" fillId="0" borderId="11" xfId="5" quotePrefix="1" applyNumberFormat="1" applyFont="1" applyBorder="1" applyAlignment="1">
      <alignment horizontal="right" vertical="center"/>
    </xf>
    <xf numFmtId="4" fontId="6" fillId="0" borderId="12" xfId="3" applyNumberFormat="1" applyFont="1" applyFill="1" applyBorder="1" applyAlignment="1" applyProtection="1">
      <alignment vertical="center"/>
    </xf>
    <xf numFmtId="4" fontId="6" fillId="0" borderId="11" xfId="3" applyNumberFormat="1" applyFont="1" applyFill="1" applyBorder="1" applyAlignment="1" applyProtection="1">
      <alignment vertical="center"/>
    </xf>
    <xf numFmtId="4" fontId="8" fillId="0" borderId="0" xfId="3" applyNumberFormat="1" applyFont="1" applyFill="1" applyBorder="1" applyAlignment="1" applyProtection="1">
      <alignment vertical="center"/>
    </xf>
    <xf numFmtId="164" fontId="7" fillId="0" borderId="0" xfId="1" applyFont="1" applyFill="1" applyAlignment="1">
      <alignment vertical="center"/>
    </xf>
    <xf numFmtId="4" fontId="9" fillId="0" borderId="11" xfId="5" quotePrefix="1" applyNumberFormat="1" applyFont="1" applyBorder="1" applyAlignment="1">
      <alignment horizontal="right" vertical="center"/>
    </xf>
    <xf numFmtId="4" fontId="9" fillId="0" borderId="12" xfId="5" quotePrefix="1" applyNumberFormat="1" applyFont="1" applyBorder="1" applyAlignment="1">
      <alignment horizontal="left" vertical="center"/>
    </xf>
    <xf numFmtId="4" fontId="6" fillId="0" borderId="12" xfId="3" applyNumberFormat="1" applyFont="1" applyFill="1" applyBorder="1" applyAlignment="1" applyProtection="1">
      <alignment horizontal="left" vertical="center"/>
    </xf>
    <xf numFmtId="4" fontId="6" fillId="0" borderId="11" xfId="3" applyNumberFormat="1" applyFont="1" applyFill="1" applyBorder="1" applyAlignment="1" applyProtection="1">
      <alignment horizontal="left" vertical="center"/>
    </xf>
    <xf numFmtId="4" fontId="7" fillId="0" borderId="0" xfId="5" applyNumberFormat="1" applyFont="1" applyAlignment="1">
      <alignment horizontal="left"/>
    </xf>
    <xf numFmtId="4" fontId="8" fillId="0" borderId="0" xfId="3" applyNumberFormat="1" applyFont="1" applyFill="1" applyBorder="1" applyAlignment="1" applyProtection="1">
      <alignment horizontal="left"/>
    </xf>
    <xf numFmtId="164" fontId="7" fillId="0" borderId="0" xfId="1" applyFont="1" applyFill="1" applyAlignment="1">
      <alignment horizontal="left"/>
    </xf>
    <xf numFmtId="37" fontId="7" fillId="0" borderId="0" xfId="5" applyFont="1" applyAlignment="1">
      <alignment horizontal="left"/>
    </xf>
    <xf numFmtId="4" fontId="6" fillId="0" borderId="11" xfId="5" quotePrefix="1" applyNumberFormat="1" applyFont="1" applyBorder="1" applyAlignment="1">
      <alignment vertical="center"/>
    </xf>
    <xf numFmtId="4" fontId="6" fillId="0" borderId="12" xfId="5" quotePrefix="1" applyNumberFormat="1" applyFont="1" applyBorder="1" applyAlignment="1">
      <alignment vertical="center"/>
    </xf>
    <xf numFmtId="4" fontId="7" fillId="0" borderId="0" xfId="5" applyNumberFormat="1" applyFont="1" applyAlignment="1">
      <alignment horizontal="left" indent="3"/>
    </xf>
    <xf numFmtId="4" fontId="8" fillId="0" borderId="0" xfId="3" applyNumberFormat="1" applyFont="1" applyFill="1" applyBorder="1" applyAlignment="1" applyProtection="1">
      <alignment horizontal="left" indent="3"/>
    </xf>
    <xf numFmtId="164" fontId="7" fillId="0" borderId="0" xfId="1" applyFont="1" applyFill="1" applyAlignment="1">
      <alignment horizontal="left" indent="3"/>
    </xf>
    <xf numFmtId="37" fontId="7" fillId="0" borderId="0" xfId="5" applyFont="1" applyAlignment="1">
      <alignment horizontal="left" indent="3"/>
    </xf>
    <xf numFmtId="4" fontId="7" fillId="0" borderId="12" xfId="3" applyNumberFormat="1" applyFont="1" applyFill="1" applyBorder="1" applyAlignment="1" applyProtection="1">
      <alignment vertical="center"/>
    </xf>
    <xf numFmtId="4" fontId="7" fillId="0" borderId="11" xfId="3" applyNumberFormat="1" applyFont="1" applyFill="1" applyBorder="1" applyAlignment="1" applyProtection="1">
      <alignment vertical="center"/>
    </xf>
    <xf numFmtId="4" fontId="8" fillId="0" borderId="0" xfId="3" applyNumberFormat="1" applyFont="1" applyFill="1" applyBorder="1" applyAlignment="1" applyProtection="1">
      <alignment horizontal="left" vertical="center"/>
    </xf>
    <xf numFmtId="37" fontId="7" fillId="0" borderId="0" xfId="5" applyFont="1" applyAlignment="1">
      <alignment horizontal="left" vertical="center"/>
    </xf>
    <xf numFmtId="2" fontId="8" fillId="0" borderId="12" xfId="5" applyNumberFormat="1" applyFont="1" applyBorder="1" applyAlignment="1">
      <alignment horizontal="center" vertical="center"/>
    </xf>
    <xf numFmtId="4" fontId="18" fillId="0" borderId="0" xfId="5" applyNumberFormat="1" applyFont="1" applyAlignment="1">
      <alignment vertical="center"/>
    </xf>
    <xf numFmtId="4" fontId="18" fillId="0" borderId="0" xfId="3" applyNumberFormat="1" applyFont="1" applyFill="1" applyBorder="1" applyAlignment="1" applyProtection="1"/>
    <xf numFmtId="4" fontId="16" fillId="0" borderId="0" xfId="5" applyNumberFormat="1" applyFont="1" applyAlignment="1">
      <alignment vertical="center"/>
    </xf>
    <xf numFmtId="37" fontId="16" fillId="0" borderId="0" xfId="5" applyFont="1" applyAlignment="1">
      <alignment vertical="center"/>
    </xf>
    <xf numFmtId="2" fontId="6" fillId="0" borderId="12" xfId="5" applyNumberFormat="1" applyFont="1" applyBorder="1" applyAlignment="1">
      <alignment horizontal="center" vertical="center"/>
    </xf>
    <xf numFmtId="37" fontId="6" fillId="0" borderId="12" xfId="5" quotePrefix="1" applyFont="1" applyBorder="1" applyAlignment="1">
      <alignment horizontal="center" vertical="center"/>
    </xf>
    <xf numFmtId="4" fontId="16" fillId="0" borderId="0" xfId="5" applyNumberFormat="1" applyFont="1"/>
    <xf numFmtId="37" fontId="16" fillId="0" borderId="0" xfId="5" applyFont="1"/>
    <xf numFmtId="4" fontId="16" fillId="0" borderId="0" xfId="5" applyNumberFormat="1" applyFont="1" applyAlignment="1">
      <alignment vertical="top"/>
    </xf>
    <xf numFmtId="4" fontId="18" fillId="0" borderId="0" xfId="3" applyNumberFormat="1" applyFont="1" applyFill="1" applyBorder="1" applyAlignment="1" applyProtection="1">
      <alignment vertical="top"/>
    </xf>
    <xf numFmtId="37" fontId="16" fillId="0" borderId="0" xfId="5" applyFont="1" applyAlignment="1">
      <alignment vertical="top"/>
    </xf>
    <xf numFmtId="37" fontId="7" fillId="2" borderId="10" xfId="4" applyFont="1" applyFill="1" applyBorder="1" applyAlignment="1">
      <alignment vertical="center"/>
    </xf>
    <xf numFmtId="1" fontId="0" fillId="2" borderId="0" xfId="0" applyNumberFormat="1" applyFill="1"/>
    <xf numFmtId="4" fontId="0" fillId="2" borderId="0" xfId="0" applyNumberFormat="1" applyFill="1"/>
    <xf numFmtId="44" fontId="0" fillId="2" borderId="0" xfId="0" applyNumberFormat="1" applyFill="1"/>
    <xf numFmtId="0" fontId="0" fillId="2" borderId="0" xfId="0" applyFill="1"/>
    <xf numFmtId="2" fontId="15" fillId="0" borderId="12" xfId="5" applyNumberFormat="1" applyFont="1" applyBorder="1" applyAlignment="1">
      <alignment horizontal="center" vertical="center"/>
    </xf>
    <xf numFmtId="4" fontId="8" fillId="0" borderId="12" xfId="5" quotePrefix="1" applyNumberFormat="1" applyFont="1" applyBorder="1" applyAlignment="1">
      <alignment horizontal="right" vertical="center"/>
    </xf>
    <xf numFmtId="37" fontId="31" fillId="2" borderId="0" xfId="4" applyFont="1" applyFill="1" applyAlignment="1">
      <alignment vertical="top"/>
    </xf>
    <xf numFmtId="37" fontId="27" fillId="2" borderId="0" xfId="4" quotePrefix="1" applyFont="1" applyFill="1" applyAlignment="1">
      <alignment horizontal="left" vertical="center"/>
    </xf>
    <xf numFmtId="37" fontId="27" fillId="2" borderId="13" xfId="4" quotePrefix="1" applyFont="1" applyFill="1" applyBorder="1" applyAlignment="1">
      <alignment horizontal="left" vertical="center"/>
    </xf>
    <xf numFmtId="37" fontId="7" fillId="2" borderId="13" xfId="4" applyFont="1" applyFill="1" applyBorder="1" applyAlignment="1">
      <alignment horizontal="right" vertical="top"/>
    </xf>
    <xf numFmtId="169" fontId="28" fillId="2" borderId="11" xfId="2" applyNumberFormat="1" applyFont="1" applyFill="1" applyBorder="1" applyAlignment="1" applyProtection="1">
      <alignment horizontal="center" vertical="center"/>
    </xf>
    <xf numFmtId="37" fontId="33" fillId="2" borderId="0" xfId="4" applyFont="1" applyFill="1" applyAlignment="1">
      <alignment vertical="top"/>
    </xf>
    <xf numFmtId="1" fontId="28" fillId="2" borderId="13" xfId="4" applyNumberFormat="1" applyFont="1" applyFill="1" applyBorder="1" applyAlignment="1">
      <alignment horizontal="center" vertical="center"/>
    </xf>
    <xf numFmtId="37" fontId="34" fillId="2" borderId="0" xfId="4" applyFont="1" applyFill="1" applyAlignment="1">
      <alignment horizontal="center" vertical="center"/>
    </xf>
    <xf numFmtId="169" fontId="28" fillId="2" borderId="11" xfId="4" applyNumberFormat="1" applyFont="1" applyFill="1" applyBorder="1" applyAlignment="1">
      <alignment horizontal="left" vertical="center"/>
    </xf>
    <xf numFmtId="37" fontId="33" fillId="2" borderId="0" xfId="4" applyFont="1" applyFill="1" applyAlignment="1">
      <alignment vertical="top" wrapText="1"/>
    </xf>
    <xf numFmtId="37" fontId="28" fillId="2" borderId="0" xfId="4" applyFont="1" applyFill="1" applyAlignment="1">
      <alignment horizontal="right" vertical="center" wrapText="1"/>
    </xf>
    <xf numFmtId="169" fontId="28" fillId="2" borderId="11" xfId="4" applyNumberFormat="1" applyFont="1" applyFill="1" applyBorder="1" applyAlignment="1">
      <alignment horizontal="center" vertical="center"/>
    </xf>
    <xf numFmtId="37" fontId="28" fillId="2" borderId="0" xfId="5" applyFont="1" applyFill="1" applyAlignment="1">
      <alignment horizontal="center" vertical="center"/>
    </xf>
    <xf numFmtId="37" fontId="30" fillId="2" borderId="13" xfId="4" applyFont="1" applyFill="1" applyBorder="1" applyAlignment="1">
      <alignment vertical="center"/>
    </xf>
    <xf numFmtId="169" fontId="6" fillId="2" borderId="0" xfId="4" applyNumberFormat="1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37" fontId="15" fillId="0" borderId="12" xfId="5" applyFont="1" applyBorder="1" applyAlignment="1">
      <alignment horizontal="centerContinuous" vertical="center" wrapText="1"/>
    </xf>
    <xf numFmtId="37" fontId="26" fillId="3" borderId="21" xfId="5" applyFont="1" applyFill="1" applyBorder="1" applyAlignment="1">
      <alignment horizontal="centerContinuous" vertical="center" wrapText="1"/>
    </xf>
    <xf numFmtId="37" fontId="7" fillId="3" borderId="22" xfId="5" applyFont="1" applyFill="1" applyBorder="1" applyAlignment="1">
      <alignment horizontal="center" vertical="center" wrapText="1"/>
    </xf>
    <xf numFmtId="37" fontId="14" fillId="0" borderId="1" xfId="5" applyFont="1" applyBorder="1" applyAlignment="1">
      <alignment horizontal="center" vertical="center" wrapText="1"/>
    </xf>
    <xf numFmtId="37" fontId="7" fillId="0" borderId="23" xfId="5" applyFont="1" applyBorder="1" applyAlignment="1">
      <alignment horizontal="center" vertical="center" wrapText="1"/>
    </xf>
    <xf numFmtId="4" fontId="8" fillId="0" borderId="23" xfId="3" applyNumberFormat="1" applyFont="1" applyFill="1" applyBorder="1" applyAlignment="1" applyProtection="1">
      <alignment vertical="center"/>
    </xf>
    <xf numFmtId="4" fontId="8" fillId="0" borderId="23" xfId="5" quotePrefix="1" applyNumberFormat="1" applyFont="1" applyBorder="1" applyAlignment="1">
      <alignment horizontal="right" vertical="center"/>
    </xf>
    <xf numFmtId="49" fontId="25" fillId="0" borderId="1" xfId="5" applyNumberFormat="1" applyFont="1" applyBorder="1" applyAlignment="1">
      <alignment horizontal="left" vertical="center"/>
    </xf>
    <xf numFmtId="4" fontId="6" fillId="0" borderId="23" xfId="3" applyNumberFormat="1" applyFont="1" applyFill="1" applyBorder="1" applyAlignment="1" applyProtection="1">
      <alignment vertical="center"/>
    </xf>
    <xf numFmtId="4" fontId="6" fillId="0" borderId="23" xfId="3" applyNumberFormat="1" applyFont="1" applyFill="1" applyBorder="1" applyAlignment="1" applyProtection="1">
      <alignment horizontal="left" vertical="center"/>
    </xf>
    <xf numFmtId="4" fontId="7" fillId="0" borderId="23" xfId="3" applyNumberFormat="1" applyFont="1" applyFill="1" applyBorder="1" applyAlignment="1" applyProtection="1">
      <alignment vertical="center"/>
    </xf>
    <xf numFmtId="2" fontId="8" fillId="0" borderId="19" xfId="5" applyNumberFormat="1" applyFont="1" applyBorder="1" applyAlignment="1">
      <alignment horizontal="center" vertical="center"/>
    </xf>
    <xf numFmtId="4" fontId="8" fillId="0" borderId="18" xfId="5" quotePrefix="1" applyNumberFormat="1" applyFont="1" applyBorder="1" applyAlignment="1">
      <alignment horizontal="right" vertical="center"/>
    </xf>
    <xf numFmtId="4" fontId="8" fillId="0" borderId="19" xfId="3" applyNumberFormat="1" applyFont="1" applyFill="1" applyBorder="1" applyAlignment="1" applyProtection="1">
      <alignment vertical="center"/>
    </xf>
    <xf numFmtId="4" fontId="8" fillId="0" borderId="18" xfId="3" applyNumberFormat="1" applyFont="1" applyFill="1" applyBorder="1" applyAlignment="1" applyProtection="1">
      <alignment vertical="center"/>
    </xf>
    <xf numFmtId="4" fontId="8" fillId="0" borderId="25" xfId="3" applyNumberFormat="1" applyFont="1" applyFill="1" applyBorder="1" applyAlignment="1" applyProtection="1">
      <alignment vertical="center"/>
    </xf>
    <xf numFmtId="37" fontId="28" fillId="2" borderId="5" xfId="4" applyFont="1" applyFill="1" applyBorder="1" applyAlignment="1">
      <alignment vertical="center"/>
    </xf>
    <xf numFmtId="37" fontId="7" fillId="0" borderId="0" xfId="5" applyFont="1" applyAlignment="1">
      <alignment vertical="center" wrapText="1"/>
    </xf>
    <xf numFmtId="37" fontId="39" fillId="2" borderId="0" xfId="4" quotePrefix="1" applyFont="1" applyFill="1" applyAlignment="1">
      <alignment horizontal="left" vertical="center"/>
    </xf>
    <xf numFmtId="37" fontId="39" fillId="2" borderId="0" xfId="4" applyFont="1" applyFill="1" applyAlignment="1">
      <alignment vertical="center"/>
    </xf>
    <xf numFmtId="164" fontId="7" fillId="2" borderId="0" xfId="1" applyFont="1" applyFill="1" applyAlignment="1">
      <alignment vertical="center"/>
    </xf>
    <xf numFmtId="164" fontId="27" fillId="2" borderId="0" xfId="1" applyFont="1" applyFill="1" applyAlignment="1">
      <alignment vertical="center"/>
    </xf>
    <xf numFmtId="170" fontId="27" fillId="2" borderId="0" xfId="1" applyNumberFormat="1" applyFont="1" applyFill="1" applyAlignment="1">
      <alignment vertical="center"/>
    </xf>
    <xf numFmtId="170" fontId="7" fillId="2" borderId="0" xfId="4" applyNumberFormat="1" applyFont="1" applyFill="1" applyAlignment="1">
      <alignment vertical="center"/>
    </xf>
    <xf numFmtId="164" fontId="39" fillId="2" borderId="0" xfId="1" applyFont="1" applyFill="1" applyAlignment="1">
      <alignment vertical="center"/>
    </xf>
    <xf numFmtId="37" fontId="39" fillId="2" borderId="13" xfId="4" applyFont="1" applyFill="1" applyBorder="1" applyAlignment="1">
      <alignment horizontal="left" vertical="center"/>
    </xf>
    <xf numFmtId="37" fontId="6" fillId="2" borderId="13" xfId="4" applyFont="1" applyFill="1" applyBorder="1" applyAlignment="1">
      <alignment horizontal="left" vertical="center"/>
    </xf>
    <xf numFmtId="37" fontId="29" fillId="2" borderId="0" xfId="4" applyFont="1" applyFill="1" applyAlignment="1">
      <alignment vertical="center"/>
    </xf>
    <xf numFmtId="4" fontId="29" fillId="2" borderId="0" xfId="4" applyNumberFormat="1" applyFont="1" applyFill="1" applyAlignment="1">
      <alignment vertical="center"/>
    </xf>
    <xf numFmtId="37" fontId="31" fillId="2" borderId="0" xfId="4" applyFont="1" applyFill="1"/>
    <xf numFmtId="37" fontId="33" fillId="2" borderId="0" xfId="4" applyFont="1" applyFill="1"/>
    <xf numFmtId="1" fontId="4" fillId="2" borderId="4" xfId="0" applyNumberFormat="1" applyFont="1" applyFill="1" applyBorder="1" applyAlignment="1">
      <alignment horizontal="left" vertical="center"/>
    </xf>
    <xf numFmtId="164" fontId="10" fillId="2" borderId="0" xfId="1" applyFont="1" applyFill="1" applyBorder="1" applyAlignment="1" applyProtection="1">
      <alignment vertical="center"/>
    </xf>
    <xf numFmtId="1" fontId="31" fillId="2" borderId="0" xfId="0" applyNumberFormat="1" applyFont="1" applyFill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37" fontId="6" fillId="2" borderId="0" xfId="4" applyFont="1" applyFill="1" applyAlignment="1">
      <alignment horizontal="center" vertical="center" wrapText="1"/>
    </xf>
    <xf numFmtId="37" fontId="6" fillId="2" borderId="0" xfId="4" applyFont="1" applyFill="1" applyAlignment="1">
      <alignment horizontal="center" vertical="top"/>
    </xf>
    <xf numFmtId="171" fontId="15" fillId="0" borderId="12" xfId="5" applyNumberFormat="1" applyFont="1" applyBorder="1" applyAlignment="1">
      <alignment horizontal="center" vertical="center"/>
    </xf>
    <xf numFmtId="166" fontId="6" fillId="2" borderId="16" xfId="4" quotePrefix="1" applyNumberFormat="1" applyFont="1" applyFill="1" applyBorder="1" applyAlignment="1">
      <alignment horizontal="center" vertical="center"/>
    </xf>
    <xf numFmtId="166" fontId="6" fillId="2" borderId="16" xfId="4" applyNumberFormat="1" applyFont="1" applyFill="1" applyBorder="1" applyAlignment="1">
      <alignment horizontal="center" vertical="center"/>
    </xf>
    <xf numFmtId="4" fontId="6" fillId="2" borderId="0" xfId="4" applyNumberFormat="1" applyFont="1" applyFill="1" applyAlignment="1">
      <alignment horizontal="center" vertical="center" wrapText="1"/>
    </xf>
    <xf numFmtId="37" fontId="32" fillId="2" borderId="0" xfId="4" applyFont="1" applyFill="1" applyAlignment="1">
      <alignment horizontal="left" vertical="center"/>
    </xf>
    <xf numFmtId="4" fontId="8" fillId="2" borderId="14" xfId="2" applyNumberFormat="1" applyFont="1" applyFill="1" applyBorder="1" applyAlignment="1" applyProtection="1">
      <alignment vertical="center"/>
    </xf>
    <xf numFmtId="1" fontId="31" fillId="2" borderId="5" xfId="0" applyNumberFormat="1" applyFont="1" applyFill="1" applyBorder="1" applyAlignment="1">
      <alignment horizontal="center" vertical="center"/>
    </xf>
    <xf numFmtId="1" fontId="4" fillId="2" borderId="5" xfId="0" applyNumberFormat="1" applyFont="1" applyFill="1" applyBorder="1" applyAlignment="1">
      <alignment horizontal="center" vertical="center"/>
    </xf>
    <xf numFmtId="37" fontId="14" fillId="0" borderId="27" xfId="5" applyFont="1" applyBorder="1" applyAlignment="1">
      <alignment vertical="center"/>
    </xf>
    <xf numFmtId="37" fontId="14" fillId="0" borderId="28" xfId="5" applyFont="1" applyBorder="1" applyAlignment="1">
      <alignment vertical="center"/>
    </xf>
    <xf numFmtId="37" fontId="7" fillId="0" borderId="29" xfId="5" applyFont="1" applyBorder="1" applyAlignment="1">
      <alignment horizontal="right"/>
    </xf>
    <xf numFmtId="37" fontId="14" fillId="0" borderId="30" xfId="5" applyFont="1" applyBorder="1" applyAlignment="1">
      <alignment horizontal="center" vertical="center"/>
    </xf>
    <xf numFmtId="37" fontId="32" fillId="2" borderId="5" xfId="4" applyFont="1" applyFill="1" applyBorder="1" applyAlignment="1">
      <alignment horizontal="left" vertical="center"/>
    </xf>
    <xf numFmtId="2" fontId="25" fillId="0" borderId="12" xfId="5" applyNumberFormat="1" applyFont="1" applyBorder="1" applyAlignment="1">
      <alignment horizontal="center" vertical="center"/>
    </xf>
    <xf numFmtId="4" fontId="6" fillId="0" borderId="12" xfId="5" quotePrefix="1" applyNumberFormat="1" applyFont="1" applyBorder="1" applyAlignment="1">
      <alignment horizontal="right" vertical="center" wrapText="1"/>
    </xf>
    <xf numFmtId="4" fontId="31" fillId="2" borderId="0" xfId="4" applyNumberFormat="1" applyFont="1" applyFill="1" applyAlignment="1">
      <alignment vertical="center"/>
    </xf>
    <xf numFmtId="1" fontId="31" fillId="2" borderId="10" xfId="0" applyNumberFormat="1" applyFont="1" applyFill="1" applyBorder="1" applyAlignment="1">
      <alignment horizontal="center" vertical="center"/>
    </xf>
    <xf numFmtId="2" fontId="15" fillId="0" borderId="11" xfId="5" applyNumberFormat="1" applyFont="1" applyBorder="1" applyAlignment="1">
      <alignment horizontal="right" vertical="center"/>
    </xf>
    <xf numFmtId="2" fontId="15" fillId="0" borderId="12" xfId="5" applyNumberFormat="1" applyFont="1" applyBorder="1" applyAlignment="1">
      <alignment horizontal="right" vertical="center"/>
    </xf>
    <xf numFmtId="2" fontId="15" fillId="0" borderId="23" xfId="5" applyNumberFormat="1" applyFont="1" applyBorder="1" applyAlignment="1">
      <alignment horizontal="right" vertical="center"/>
    </xf>
    <xf numFmtId="4" fontId="7" fillId="2" borderId="0" xfId="4" applyNumberFormat="1" applyFont="1" applyFill="1" applyAlignment="1">
      <alignment horizontal="center" vertical="top" wrapText="1"/>
    </xf>
    <xf numFmtId="37" fontId="6" fillId="2" borderId="0" xfId="4" applyFont="1" applyFill="1" applyAlignment="1">
      <alignment horizontal="left"/>
    </xf>
    <xf numFmtId="169" fontId="7" fillId="5" borderId="4" xfId="4" applyNumberFormat="1" applyFont="1" applyFill="1" applyBorder="1" applyAlignment="1">
      <alignment horizontal="center" vertical="center" wrapText="1"/>
    </xf>
    <xf numFmtId="37" fontId="39" fillId="5" borderId="9" xfId="4" applyFont="1" applyFill="1" applyBorder="1" applyAlignment="1">
      <alignment horizontal="center" vertical="center" wrapText="1"/>
    </xf>
    <xf numFmtId="4" fontId="33" fillId="2" borderId="5" xfId="4" applyNumberFormat="1" applyFont="1" applyFill="1" applyBorder="1" applyAlignment="1">
      <alignment vertical="center"/>
    </xf>
    <xf numFmtId="4" fontId="10" fillId="2" borderId="0" xfId="4" applyNumberFormat="1" applyFont="1" applyFill="1" applyAlignment="1">
      <alignment vertical="center"/>
    </xf>
    <xf numFmtId="4" fontId="33" fillId="2" borderId="0" xfId="4" applyNumberFormat="1" applyFont="1" applyFill="1" applyAlignment="1">
      <alignment vertical="center"/>
    </xf>
    <xf numFmtId="37" fontId="29" fillId="2" borderId="0" xfId="4" applyFont="1" applyFill="1" applyAlignment="1">
      <alignment vertical="top"/>
    </xf>
    <xf numFmtId="37" fontId="29" fillId="2" borderId="0" xfId="4" applyFont="1" applyFill="1" applyAlignment="1">
      <alignment horizontal="left" vertical="center"/>
    </xf>
    <xf numFmtId="4" fontId="29" fillId="2" borderId="0" xfId="4" applyNumberFormat="1" applyFont="1" applyFill="1" applyAlignment="1">
      <alignment vertical="top"/>
    </xf>
    <xf numFmtId="37" fontId="33" fillId="2" borderId="5" xfId="4" applyFont="1" applyFill="1" applyBorder="1" applyAlignment="1">
      <alignment vertical="center"/>
    </xf>
    <xf numFmtId="37" fontId="33" fillId="2" borderId="0" xfId="4" applyFont="1" applyFill="1" applyAlignment="1">
      <alignment vertical="center"/>
    </xf>
    <xf numFmtId="37" fontId="6" fillId="2" borderId="0" xfId="4" applyFont="1" applyFill="1" applyAlignment="1">
      <alignment horizontal="left" vertical="top"/>
    </xf>
    <xf numFmtId="37" fontId="7" fillId="2" borderId="14" xfId="4" applyFont="1" applyFill="1" applyBorder="1" applyAlignment="1">
      <alignment vertical="top"/>
    </xf>
    <xf numFmtId="4" fontId="6" fillId="2" borderId="5" xfId="4" applyNumberFormat="1" applyFont="1" applyFill="1" applyBorder="1" applyAlignment="1">
      <alignment vertical="center"/>
    </xf>
    <xf numFmtId="37" fontId="28" fillId="2" borderId="7" xfId="4" applyFont="1" applyFill="1" applyBorder="1" applyAlignment="1">
      <alignment vertical="center" wrapText="1"/>
    </xf>
    <xf numFmtId="37" fontId="28" fillId="2" borderId="6" xfId="4" applyFont="1" applyFill="1" applyBorder="1" applyAlignment="1">
      <alignment vertical="center" wrapText="1"/>
    </xf>
    <xf numFmtId="169" fontId="6" fillId="2" borderId="11" xfId="2" quotePrefix="1" applyNumberFormat="1" applyFont="1" applyFill="1" applyBorder="1" applyAlignment="1" applyProtection="1">
      <alignment horizontal="center" vertical="center"/>
    </xf>
    <xf numFmtId="4" fontId="6" fillId="0" borderId="13" xfId="5" quotePrefix="1" applyNumberFormat="1" applyFont="1" applyBorder="1" applyAlignment="1">
      <alignment horizontal="right" vertical="center"/>
    </xf>
    <xf numFmtId="37" fontId="7" fillId="3" borderId="31" xfId="5" applyFont="1" applyFill="1" applyBorder="1" applyAlignment="1">
      <alignment horizontal="center" vertical="center" wrapText="1"/>
    </xf>
    <xf numFmtId="37" fontId="7" fillId="0" borderId="13" xfId="5" applyFont="1" applyBorder="1" applyAlignment="1">
      <alignment horizontal="center" vertical="center" wrapText="1"/>
    </xf>
    <xf numFmtId="4" fontId="8" fillId="0" borderId="13" xfId="3" applyNumberFormat="1" applyFont="1" applyFill="1" applyBorder="1" applyAlignment="1" applyProtection="1">
      <alignment vertical="center"/>
    </xf>
    <xf numFmtId="2" fontId="15" fillId="0" borderId="13" xfId="5" applyNumberFormat="1" applyFont="1" applyBorder="1" applyAlignment="1">
      <alignment horizontal="right" vertical="center"/>
    </xf>
    <xf numFmtId="4" fontId="8" fillId="0" borderId="0" xfId="5" quotePrefix="1" applyNumberFormat="1" applyFont="1" applyAlignment="1">
      <alignment horizontal="right" vertical="center"/>
    </xf>
    <xf numFmtId="4" fontId="8" fillId="0" borderId="13" xfId="5" quotePrefix="1" applyNumberFormat="1" applyFont="1" applyBorder="1" applyAlignment="1">
      <alignment horizontal="right" vertical="center"/>
    </xf>
    <xf numFmtId="4" fontId="6" fillId="0" borderId="13" xfId="3" applyNumberFormat="1" applyFont="1" applyFill="1" applyBorder="1" applyAlignment="1" applyProtection="1">
      <alignment vertical="center"/>
    </xf>
    <xf numFmtId="37" fontId="7" fillId="3" borderId="32" xfId="5" applyFont="1" applyFill="1" applyBorder="1" applyAlignment="1">
      <alignment horizontal="center" vertical="center" wrapText="1"/>
    </xf>
    <xf numFmtId="4" fontId="9" fillId="0" borderId="11" xfId="5" quotePrefix="1" applyNumberFormat="1" applyFont="1" applyBorder="1" applyAlignment="1">
      <alignment horizontal="left" vertical="center"/>
    </xf>
    <xf numFmtId="37" fontId="6" fillId="0" borderId="11" xfId="5" quotePrefix="1" applyFont="1" applyBorder="1" applyAlignment="1">
      <alignment horizontal="center" vertical="center"/>
    </xf>
    <xf numFmtId="4" fontId="8" fillId="0" borderId="26" xfId="5" quotePrefix="1" applyNumberFormat="1" applyFont="1" applyBorder="1" applyAlignment="1">
      <alignment horizontal="right" vertical="center"/>
    </xf>
    <xf numFmtId="4" fontId="9" fillId="0" borderId="12" xfId="5" quotePrefix="1" applyNumberFormat="1" applyFont="1" applyBorder="1" applyAlignment="1">
      <alignment horizontal="right" vertical="center"/>
    </xf>
    <xf numFmtId="4" fontId="6" fillId="0" borderId="12" xfId="5" quotePrefix="1" applyNumberFormat="1" applyFont="1" applyBorder="1" applyAlignment="1">
      <alignment horizontal="right" vertical="center"/>
    </xf>
    <xf numFmtId="37" fontId="31" fillId="2" borderId="0" xfId="4" applyFont="1" applyFill="1" applyAlignment="1">
      <alignment horizontal="center" vertical="center"/>
    </xf>
    <xf numFmtId="37" fontId="41" fillId="2" borderId="0" xfId="4" applyFont="1" applyFill="1" applyAlignment="1">
      <alignment vertical="center"/>
    </xf>
    <xf numFmtId="164" fontId="31" fillId="2" borderId="0" xfId="1" applyFont="1" applyFill="1" applyBorder="1" applyAlignment="1" applyProtection="1">
      <alignment vertical="center"/>
    </xf>
    <xf numFmtId="37" fontId="31" fillId="2" borderId="0" xfId="4" applyFont="1" applyFill="1" applyAlignment="1">
      <alignment horizontal="left" vertical="center"/>
    </xf>
    <xf numFmtId="0" fontId="7" fillId="5" borderId="4" xfId="0" applyFont="1" applyFill="1" applyBorder="1" applyAlignment="1">
      <alignment horizontal="center" vertical="center" wrapText="1"/>
    </xf>
    <xf numFmtId="37" fontId="28" fillId="2" borderId="7" xfId="4" applyFont="1" applyFill="1" applyBorder="1" applyAlignment="1">
      <alignment horizontal="center" vertical="center" wrapText="1"/>
    </xf>
    <xf numFmtId="37" fontId="28" fillId="2" borderId="13" xfId="4" applyFont="1" applyFill="1" applyBorder="1" applyAlignment="1">
      <alignment horizontal="left" vertical="center"/>
    </xf>
    <xf numFmtId="37" fontId="7" fillId="5" borderId="4" xfId="4" applyFont="1" applyFill="1" applyBorder="1" applyAlignment="1">
      <alignment horizontal="center" vertical="center" wrapText="1"/>
    </xf>
    <xf numFmtId="1" fontId="6" fillId="4" borderId="4" xfId="0" applyNumberFormat="1" applyFont="1" applyFill="1" applyBorder="1" applyAlignment="1">
      <alignment horizontal="center" vertical="center"/>
    </xf>
    <xf numFmtId="166" fontId="6" fillId="4" borderId="4" xfId="4" applyNumberFormat="1" applyFont="1" applyFill="1" applyBorder="1" applyAlignment="1">
      <alignment horizontal="center" vertical="center"/>
    </xf>
    <xf numFmtId="4" fontId="6" fillId="4" borderId="4" xfId="2" applyNumberFormat="1" applyFont="1" applyFill="1" applyBorder="1" applyAlignment="1" applyProtection="1">
      <alignment vertical="center"/>
    </xf>
    <xf numFmtId="2" fontId="6" fillId="2" borderId="4" xfId="4" applyNumberFormat="1" applyFont="1" applyFill="1" applyBorder="1" applyAlignment="1">
      <alignment horizontal="center" vertical="center"/>
    </xf>
    <xf numFmtId="4" fontId="6" fillId="2" borderId="4" xfId="2" applyNumberFormat="1" applyFont="1" applyFill="1" applyBorder="1" applyAlignment="1" applyProtection="1">
      <alignment horizontal="center" vertical="center"/>
    </xf>
    <xf numFmtId="4" fontId="8" fillId="2" borderId="4" xfId="2" applyNumberFormat="1" applyFont="1" applyFill="1" applyBorder="1" applyAlignment="1" applyProtection="1">
      <alignment vertical="center"/>
    </xf>
    <xf numFmtId="37" fontId="19" fillId="2" borderId="6" xfId="4" applyFont="1" applyFill="1" applyBorder="1" applyAlignment="1">
      <alignment horizontal="center" vertical="center"/>
    </xf>
    <xf numFmtId="4" fontId="39" fillId="2" borderId="0" xfId="2" applyNumberFormat="1" applyFont="1" applyFill="1" applyBorder="1" applyAlignment="1" applyProtection="1">
      <alignment vertical="center"/>
    </xf>
    <xf numFmtId="37" fontId="42" fillId="2" borderId="0" xfId="6" applyNumberFormat="1" applyFill="1" applyBorder="1"/>
    <xf numFmtId="37" fontId="7" fillId="2" borderId="7" xfId="4" applyFont="1" applyFill="1" applyBorder="1" applyAlignment="1">
      <alignment vertical="center"/>
    </xf>
    <xf numFmtId="37" fontId="6" fillId="2" borderId="28" xfId="4" applyFont="1" applyFill="1" applyBorder="1" applyAlignment="1">
      <alignment vertical="center"/>
    </xf>
    <xf numFmtId="37" fontId="7" fillId="2" borderId="28" xfId="4" applyFont="1" applyFill="1" applyBorder="1" applyAlignment="1">
      <alignment horizontal="center" vertical="top"/>
    </xf>
    <xf numFmtId="37" fontId="7" fillId="2" borderId="28" xfId="4" applyFont="1" applyFill="1" applyBorder="1" applyAlignment="1">
      <alignment horizontal="center" vertical="center"/>
    </xf>
    <xf numFmtId="4" fontId="6" fillId="2" borderId="13" xfId="5" quotePrefix="1" applyNumberFormat="1" applyFont="1" applyFill="1" applyBorder="1" applyAlignment="1">
      <alignment horizontal="right" vertical="center"/>
    </xf>
    <xf numFmtId="4" fontId="6" fillId="2" borderId="12" xfId="5" quotePrefix="1" applyNumberFormat="1" applyFont="1" applyFill="1" applyBorder="1" applyAlignment="1">
      <alignment horizontal="right" vertical="center"/>
    </xf>
    <xf numFmtId="4" fontId="6" fillId="2" borderId="13" xfId="5" quotePrefix="1" applyNumberFormat="1" applyFont="1" applyFill="1" applyBorder="1" applyAlignment="1">
      <alignment vertical="center"/>
    </xf>
    <xf numFmtId="4" fontId="6" fillId="2" borderId="13" xfId="5" quotePrefix="1" applyNumberFormat="1" applyFont="1" applyFill="1" applyBorder="1" applyAlignment="1">
      <alignment horizontal="right" vertical="center" wrapText="1"/>
    </xf>
    <xf numFmtId="4" fontId="6" fillId="2" borderId="23" xfId="3" applyNumberFormat="1" applyFont="1" applyFill="1" applyBorder="1" applyAlignment="1" applyProtection="1">
      <alignment vertical="center"/>
    </xf>
    <xf numFmtId="37" fontId="7" fillId="3" borderId="21" xfId="5" applyFont="1" applyFill="1" applyBorder="1" applyAlignment="1">
      <alignment horizontal="center" vertical="center"/>
    </xf>
    <xf numFmtId="49" fontId="25" fillId="0" borderId="11" xfId="5" applyNumberFormat="1" applyFont="1" applyBorder="1" applyAlignment="1">
      <alignment horizontal="left" vertical="center" wrapText="1"/>
    </xf>
    <xf numFmtId="37" fontId="7" fillId="2" borderId="0" xfId="5" applyFont="1" applyFill="1" applyAlignment="1">
      <alignment horizontal="left"/>
    </xf>
    <xf numFmtId="37" fontId="14" fillId="0" borderId="1" xfId="5" applyFont="1" applyBorder="1" applyAlignment="1">
      <alignment horizontal="center" vertical="center"/>
    </xf>
    <xf numFmtId="37" fontId="7" fillId="3" borderId="21" xfId="5" applyFont="1" applyFill="1" applyBorder="1" applyAlignment="1">
      <alignment horizontal="center" vertical="center" wrapText="1"/>
    </xf>
    <xf numFmtId="49" fontId="25" fillId="0" borderId="11" xfId="5" applyNumberFormat="1" applyFont="1" applyBorder="1" applyAlignment="1">
      <alignment horizontal="left" vertical="center" wrapText="1" indent="2"/>
    </xf>
    <xf numFmtId="37" fontId="7" fillId="0" borderId="2" xfId="5" applyFont="1" applyBorder="1"/>
    <xf numFmtId="4" fontId="8" fillId="2" borderId="23" xfId="3" applyNumberFormat="1" applyFont="1" applyFill="1" applyBorder="1" applyAlignment="1" applyProtection="1">
      <alignment vertical="center"/>
    </xf>
    <xf numFmtId="4" fontId="7" fillId="2" borderId="23" xfId="3" applyNumberFormat="1" applyFont="1" applyFill="1" applyBorder="1" applyAlignment="1" applyProtection="1">
      <alignment vertical="center"/>
    </xf>
    <xf numFmtId="4" fontId="7" fillId="2" borderId="35" xfId="3" applyNumberFormat="1" applyFont="1" applyFill="1" applyBorder="1" applyAlignment="1" applyProtection="1">
      <alignment vertical="center"/>
    </xf>
    <xf numFmtId="37" fontId="7" fillId="2" borderId="1" xfId="5" applyFont="1" applyFill="1" applyBorder="1"/>
    <xf numFmtId="37" fontId="7" fillId="2" borderId="30" xfId="5" applyFont="1" applyFill="1" applyBorder="1"/>
    <xf numFmtId="37" fontId="7" fillId="2" borderId="30" xfId="5" applyFont="1" applyFill="1" applyBorder="1" applyAlignment="1">
      <alignment horizontal="left"/>
    </xf>
    <xf numFmtId="37" fontId="7" fillId="2" borderId="30" xfId="5" applyFont="1" applyFill="1" applyBorder="1" applyAlignment="1">
      <alignment horizontal="left" vertical="center"/>
    </xf>
    <xf numFmtId="37" fontId="7" fillId="0" borderId="1" xfId="5" applyFont="1" applyBorder="1"/>
    <xf numFmtId="37" fontId="6" fillId="0" borderId="30" xfId="4" applyFont="1" applyBorder="1"/>
    <xf numFmtId="37" fontId="7" fillId="0" borderId="30" xfId="4" applyFont="1" applyBorder="1" applyAlignment="1">
      <alignment wrapText="1"/>
    </xf>
    <xf numFmtId="37" fontId="7" fillId="0" borderId="30" xfId="5" applyFont="1" applyBorder="1" applyAlignment="1">
      <alignment vertical="center" wrapText="1"/>
    </xf>
    <xf numFmtId="37" fontId="7" fillId="0" borderId="30" xfId="5" applyFont="1" applyBorder="1"/>
    <xf numFmtId="37" fontId="7" fillId="0" borderId="24" xfId="5" applyFont="1" applyBorder="1"/>
    <xf numFmtId="37" fontId="7" fillId="0" borderId="17" xfId="5" applyFont="1" applyBorder="1" applyAlignment="1">
      <alignment horizontal="center"/>
    </xf>
    <xf numFmtId="37" fontId="7" fillId="0" borderId="17" xfId="5" applyFont="1" applyBorder="1"/>
    <xf numFmtId="37" fontId="7" fillId="0" borderId="37" xfId="5" applyFont="1" applyBorder="1"/>
    <xf numFmtId="166" fontId="6" fillId="2" borderId="5" xfId="4" quotePrefix="1" applyNumberFormat="1" applyFont="1" applyFill="1" applyBorder="1" applyAlignment="1">
      <alignment horizontal="center" vertical="center"/>
    </xf>
    <xf numFmtId="4" fontId="13" fillId="2" borderId="11" xfId="4" applyNumberFormat="1" applyFont="1" applyFill="1" applyBorder="1" applyAlignment="1">
      <alignment horizontal="right" vertical="center"/>
    </xf>
    <xf numFmtId="1" fontId="4" fillId="4" borderId="4" xfId="0" applyNumberFormat="1" applyFont="1" applyFill="1" applyBorder="1" applyAlignment="1">
      <alignment horizontal="center" vertical="center"/>
    </xf>
    <xf numFmtId="166" fontId="6" fillId="4" borderId="4" xfId="4" quotePrefix="1" applyNumberFormat="1" applyFont="1" applyFill="1" applyBorder="1" applyAlignment="1">
      <alignment horizontal="center" vertical="center"/>
    </xf>
    <xf numFmtId="166" fontId="4" fillId="4" borderId="4" xfId="4" quotePrefix="1" applyNumberFormat="1" applyFont="1" applyFill="1" applyBorder="1" applyAlignment="1">
      <alignment horizontal="center" vertical="center"/>
    </xf>
    <xf numFmtId="4" fontId="6" fillId="2" borderId="12" xfId="2" applyNumberFormat="1" applyFont="1" applyFill="1" applyBorder="1" applyAlignment="1" applyProtection="1">
      <alignment vertical="center"/>
    </xf>
    <xf numFmtId="4" fontId="7" fillId="2" borderId="12" xfId="3" applyNumberFormat="1" applyFont="1" applyFill="1" applyBorder="1" applyAlignment="1" applyProtection="1">
      <alignment horizontal="left" vertical="center"/>
    </xf>
    <xf numFmtId="4" fontId="7" fillId="2" borderId="11" xfId="3" applyNumberFormat="1" applyFont="1" applyFill="1" applyBorder="1" applyAlignment="1" applyProtection="1">
      <alignment horizontal="right" vertical="center"/>
    </xf>
    <xf numFmtId="4" fontId="7" fillId="2" borderId="0" xfId="2" applyNumberFormat="1" applyFont="1" applyFill="1" applyBorder="1" applyAlignment="1" applyProtection="1">
      <alignment vertical="center"/>
    </xf>
    <xf numFmtId="4" fontId="7" fillId="2" borderId="12" xfId="2" applyNumberFormat="1" applyFont="1" applyFill="1" applyBorder="1" applyAlignment="1" applyProtection="1">
      <alignment vertical="center"/>
    </xf>
    <xf numFmtId="37" fontId="6" fillId="4" borderId="4" xfId="4" applyFont="1" applyFill="1" applyBorder="1" applyAlignment="1">
      <alignment horizontal="left" vertical="center" wrapText="1"/>
    </xf>
    <xf numFmtId="4" fontId="4" fillId="4" borderId="4" xfId="0" applyNumberFormat="1" applyFont="1" applyFill="1" applyBorder="1" applyAlignment="1">
      <alignment horizontal="right" vertical="center"/>
    </xf>
    <xf numFmtId="169" fontId="6" fillId="4" borderId="4" xfId="2" quotePrefix="1" applyNumberFormat="1" applyFont="1" applyFill="1" applyBorder="1" applyAlignment="1" applyProtection="1">
      <alignment horizontal="center" vertical="center"/>
    </xf>
    <xf numFmtId="169" fontId="4" fillId="4" borderId="4" xfId="2" quotePrefix="1" applyNumberFormat="1" applyFont="1" applyFill="1" applyBorder="1" applyAlignment="1" applyProtection="1">
      <alignment horizontal="center" vertical="center"/>
    </xf>
    <xf numFmtId="1" fontId="6" fillId="4" borderId="4" xfId="4" applyNumberFormat="1" applyFont="1" applyFill="1" applyBorder="1" applyAlignment="1">
      <alignment horizontal="center" vertical="center"/>
    </xf>
    <xf numFmtId="37" fontId="6" fillId="4" borderId="4" xfId="4" applyFont="1" applyFill="1" applyBorder="1" applyAlignment="1">
      <alignment vertical="center"/>
    </xf>
    <xf numFmtId="164" fontId="6" fillId="2" borderId="12" xfId="1" applyFont="1" applyFill="1" applyBorder="1" applyAlignment="1">
      <alignment horizontal="right" vertical="center"/>
    </xf>
    <xf numFmtId="39" fontId="6" fillId="2" borderId="0" xfId="5" applyNumberFormat="1" applyFont="1" applyFill="1" applyAlignment="1">
      <alignment vertical="center"/>
    </xf>
    <xf numFmtId="37" fontId="39" fillId="5" borderId="12" xfId="4" applyFont="1" applyFill="1" applyBorder="1" applyAlignment="1">
      <alignment horizontal="center" vertical="center" wrapText="1"/>
    </xf>
    <xf numFmtId="37" fontId="39" fillId="2" borderId="0" xfId="4" applyFont="1" applyFill="1" applyAlignment="1">
      <alignment horizontal="center" vertical="center"/>
    </xf>
    <xf numFmtId="37" fontId="39" fillId="2" borderId="0" xfId="4" applyFont="1" applyFill="1" applyAlignment="1">
      <alignment horizontal="center" vertical="center" wrapText="1"/>
    </xf>
    <xf numFmtId="37" fontId="4" fillId="2" borderId="0" xfId="4" applyFont="1" applyFill="1" applyAlignment="1">
      <alignment horizontal="center" vertical="center"/>
    </xf>
    <xf numFmtId="1" fontId="6" fillId="2" borderId="13" xfId="4" applyNumberFormat="1" applyFont="1" applyFill="1" applyBorder="1" applyAlignment="1">
      <alignment horizontal="center" vertical="center"/>
    </xf>
    <xf numFmtId="4" fontId="4" fillId="2" borderId="0" xfId="2" applyNumberFormat="1" applyFont="1" applyFill="1" applyBorder="1" applyAlignment="1" applyProtection="1">
      <alignment vertical="center"/>
    </xf>
    <xf numFmtId="1" fontId="4" fillId="2" borderId="13" xfId="4" applyNumberFormat="1" applyFont="1" applyFill="1" applyBorder="1" applyAlignment="1">
      <alignment horizontal="center" vertical="center"/>
    </xf>
    <xf numFmtId="3" fontId="39" fillId="2" borderId="0" xfId="2" applyNumberFormat="1" applyFont="1" applyFill="1" applyBorder="1" applyAlignment="1" applyProtection="1">
      <alignment vertical="center"/>
    </xf>
    <xf numFmtId="3" fontId="8" fillId="2" borderId="0" xfId="2" applyNumberFormat="1" applyFont="1" applyFill="1" applyBorder="1" applyAlignment="1" applyProtection="1">
      <alignment vertical="center"/>
    </xf>
    <xf numFmtId="166" fontId="6" fillId="2" borderId="14" xfId="4" quotePrefix="1" applyNumberFormat="1" applyFont="1" applyFill="1" applyBorder="1" applyAlignment="1">
      <alignment horizontal="center" vertical="center"/>
    </xf>
    <xf numFmtId="166" fontId="6" fillId="2" borderId="14" xfId="4" applyNumberFormat="1" applyFont="1" applyFill="1" applyBorder="1" applyAlignment="1">
      <alignment horizontal="center" vertical="center"/>
    </xf>
    <xf numFmtId="4" fontId="7" fillId="2" borderId="3" xfId="2" applyNumberFormat="1" applyFont="1" applyFill="1" applyBorder="1" applyAlignment="1" applyProtection="1">
      <alignment vertical="center"/>
    </xf>
    <xf numFmtId="1" fontId="7" fillId="2" borderId="13" xfId="4" applyNumberFormat="1" applyFont="1" applyFill="1" applyBorder="1" applyAlignment="1">
      <alignment vertical="center"/>
    </xf>
    <xf numFmtId="1" fontId="7" fillId="2" borderId="13" xfId="4" applyNumberFormat="1" applyFont="1" applyFill="1" applyBorder="1" applyAlignment="1">
      <alignment horizontal="left" vertical="center"/>
    </xf>
    <xf numFmtId="166" fontId="4" fillId="2" borderId="9" xfId="4" applyNumberFormat="1" applyFont="1" applyFill="1" applyBorder="1" applyAlignment="1">
      <alignment horizontal="center" vertical="center"/>
    </xf>
    <xf numFmtId="166" fontId="6" fillId="2" borderId="9" xfId="4" quotePrefix="1" applyNumberFormat="1" applyFont="1" applyFill="1" applyBorder="1" applyAlignment="1">
      <alignment horizontal="center" vertical="center"/>
    </xf>
    <xf numFmtId="166" fontId="6" fillId="2" borderId="9" xfId="4" applyNumberFormat="1" applyFont="1" applyFill="1" applyBorder="1" applyAlignment="1">
      <alignment horizontal="center" vertical="center"/>
    </xf>
    <xf numFmtId="0" fontId="6" fillId="2" borderId="9" xfId="4" applyNumberFormat="1" applyFont="1" applyFill="1" applyBorder="1" applyAlignment="1">
      <alignment horizontal="center" vertical="center"/>
    </xf>
    <xf numFmtId="0" fontId="6" fillId="2" borderId="12" xfId="4" applyNumberFormat="1" applyFont="1" applyFill="1" applyBorder="1" applyAlignment="1">
      <alignment horizontal="center" vertical="center"/>
    </xf>
    <xf numFmtId="4" fontId="45" fillId="2" borderId="0" xfId="4" applyNumberFormat="1" applyFont="1" applyFill="1" applyAlignment="1">
      <alignment vertical="top"/>
    </xf>
    <xf numFmtId="166" fontId="4" fillId="2" borderId="14" xfId="4" applyNumberFormat="1" applyFont="1" applyFill="1" applyBorder="1" applyAlignment="1">
      <alignment horizontal="center" vertical="center"/>
    </xf>
    <xf numFmtId="4" fontId="23" fillId="6" borderId="4" xfId="2" applyNumberFormat="1" applyFont="1" applyFill="1" applyBorder="1" applyAlignment="1" applyProtection="1">
      <alignment vertical="center"/>
    </xf>
    <xf numFmtId="1" fontId="41" fillId="2" borderId="0" xfId="0" applyNumberFormat="1" applyFont="1" applyFill="1" applyAlignment="1">
      <alignment horizontal="center" vertical="center"/>
    </xf>
    <xf numFmtId="4" fontId="6" fillId="2" borderId="16" xfId="2" applyNumberFormat="1" applyFont="1" applyFill="1" applyBorder="1" applyAlignment="1" applyProtection="1">
      <alignment vertical="center"/>
    </xf>
    <xf numFmtId="4" fontId="44" fillId="6" borderId="4" xfId="2" applyNumberFormat="1" applyFont="1" applyFill="1" applyBorder="1" applyAlignment="1" applyProtection="1">
      <alignment vertical="center"/>
    </xf>
    <xf numFmtId="4" fontId="43" fillId="6" borderId="4" xfId="2" applyNumberFormat="1" applyFont="1" applyFill="1" applyBorder="1" applyAlignment="1" applyProtection="1">
      <alignment vertical="center"/>
    </xf>
    <xf numFmtId="1" fontId="46" fillId="2" borderId="0" xfId="0" applyNumberFormat="1" applyFont="1" applyFill="1" applyAlignment="1">
      <alignment horizontal="center" vertical="center"/>
    </xf>
    <xf numFmtId="4" fontId="47" fillId="2" borderId="0" xfId="4" applyNumberFormat="1" applyFont="1" applyFill="1" applyAlignment="1">
      <alignment horizontal="left" vertical="center"/>
    </xf>
    <xf numFmtId="4" fontId="40" fillId="2" borderId="0" xfId="4" applyNumberFormat="1" applyFont="1" applyFill="1" applyAlignment="1">
      <alignment vertical="center"/>
    </xf>
    <xf numFmtId="4" fontId="44" fillId="7" borderId="4" xfId="2" applyNumberFormat="1" applyFont="1" applyFill="1" applyBorder="1" applyAlignment="1" applyProtection="1">
      <alignment vertical="center"/>
    </xf>
    <xf numFmtId="4" fontId="6" fillId="7" borderId="0" xfId="4" applyNumberFormat="1" applyFont="1" applyFill="1" applyAlignment="1">
      <alignment horizontal="left" vertical="center"/>
    </xf>
    <xf numFmtId="0" fontId="6" fillId="2" borderId="28" xfId="4" applyNumberFormat="1" applyFont="1" applyFill="1" applyBorder="1" applyAlignment="1">
      <alignment vertical="center"/>
    </xf>
    <xf numFmtId="0" fontId="6" fillId="2" borderId="0" xfId="4" applyNumberFormat="1" applyFont="1" applyFill="1" applyAlignment="1">
      <alignment vertical="center"/>
    </xf>
    <xf numFmtId="1" fontId="7" fillId="2" borderId="12" xfId="4" applyNumberFormat="1" applyFont="1" applyFill="1" applyBorder="1" applyAlignment="1">
      <alignment horizontal="center" vertical="center"/>
    </xf>
    <xf numFmtId="2" fontId="7" fillId="2" borderId="12" xfId="4" applyNumberFormat="1" applyFont="1" applyFill="1" applyBorder="1" applyAlignment="1">
      <alignment horizontal="center" vertical="center"/>
    </xf>
    <xf numFmtId="0" fontId="6" fillId="2" borderId="14" xfId="4" applyNumberFormat="1" applyFont="1" applyFill="1" applyBorder="1" applyAlignment="1">
      <alignment horizontal="center" vertical="center"/>
    </xf>
    <xf numFmtId="37" fontId="39" fillId="2" borderId="13" xfId="4" applyFont="1" applyFill="1" applyBorder="1" applyAlignment="1">
      <alignment horizontal="center" vertical="center" wrapText="1"/>
    </xf>
    <xf numFmtId="37" fontId="7" fillId="2" borderId="0" xfId="4" applyFont="1" applyFill="1" applyAlignment="1">
      <alignment horizontal="center" vertical="center"/>
    </xf>
    <xf numFmtId="37" fontId="7" fillId="2" borderId="0" xfId="4" applyFont="1" applyFill="1" applyAlignment="1">
      <alignment horizontal="center" vertical="center" wrapText="1"/>
    </xf>
    <xf numFmtId="4" fontId="7" fillId="2" borderId="0" xfId="4" applyNumberFormat="1" applyFont="1" applyFill="1" applyAlignment="1">
      <alignment horizontal="left" vertical="center"/>
    </xf>
    <xf numFmtId="37" fontId="28" fillId="2" borderId="0" xfId="4" applyFont="1" applyFill="1" applyAlignment="1">
      <alignment horizontal="center" vertical="center"/>
    </xf>
    <xf numFmtId="37" fontId="28" fillId="2" borderId="0" xfId="4" applyFont="1" applyFill="1" applyAlignment="1">
      <alignment horizontal="center" vertical="center" wrapText="1"/>
    </xf>
    <xf numFmtId="37" fontId="7" fillId="5" borderId="9" xfId="4" applyFont="1" applyFill="1" applyBorder="1" applyAlignment="1">
      <alignment horizontal="center" vertical="center" wrapText="1"/>
    </xf>
    <xf numFmtId="37" fontId="7" fillId="5" borderId="16" xfId="4" applyFont="1" applyFill="1" applyBorder="1" applyAlignment="1">
      <alignment horizontal="center" vertical="center" wrapText="1"/>
    </xf>
    <xf numFmtId="37" fontId="7" fillId="2" borderId="0" xfId="4" applyFont="1" applyFill="1" applyAlignment="1">
      <alignment horizontal="center" vertical="center"/>
    </xf>
    <xf numFmtId="37" fontId="7" fillId="2" borderId="0" xfId="4" applyFont="1" applyFill="1" applyAlignment="1">
      <alignment horizontal="center" vertical="center" wrapText="1"/>
    </xf>
    <xf numFmtId="4" fontId="11" fillId="2" borderId="0" xfId="4" applyNumberFormat="1" applyFont="1" applyFill="1" applyAlignment="1">
      <alignment horizontal="center" vertical="center"/>
    </xf>
    <xf numFmtId="37" fontId="19" fillId="2" borderId="0" xfId="4" applyFont="1" applyFill="1" applyAlignment="1">
      <alignment horizontal="center" vertical="center"/>
    </xf>
    <xf numFmtId="37" fontId="7" fillId="2" borderId="14" xfId="4" applyFont="1" applyFill="1" applyBorder="1" applyAlignment="1">
      <alignment horizontal="center" vertical="center"/>
    </xf>
    <xf numFmtId="37" fontId="8" fillId="2" borderId="0" xfId="4" applyFont="1" applyFill="1" applyAlignment="1">
      <alignment horizontal="left" vertical="center"/>
    </xf>
    <xf numFmtId="37" fontId="6" fillId="2" borderId="0" xfId="4" applyFont="1" applyFill="1" applyAlignment="1">
      <alignment horizontal="center" vertical="center" wrapText="1"/>
    </xf>
    <xf numFmtId="4" fontId="6" fillId="2" borderId="0" xfId="4" applyNumberFormat="1" applyFont="1" applyFill="1" applyAlignment="1">
      <alignment horizontal="left" vertical="center"/>
    </xf>
    <xf numFmtId="37" fontId="12" fillId="2" borderId="0" xfId="4" applyFont="1" applyFill="1" applyAlignment="1">
      <alignment horizontal="left" vertical="center" wrapText="1"/>
    </xf>
    <xf numFmtId="37" fontId="6" fillId="2" borderId="0" xfId="4" applyFont="1" applyFill="1" applyAlignment="1">
      <alignment horizontal="center" vertical="center"/>
    </xf>
    <xf numFmtId="37" fontId="6" fillId="2" borderId="0" xfId="4" applyFont="1" applyFill="1" applyAlignment="1">
      <alignment horizontal="center" vertical="top"/>
    </xf>
    <xf numFmtId="37" fontId="6" fillId="2" borderId="14" xfId="4" applyFont="1" applyFill="1" applyBorder="1" applyAlignment="1">
      <alignment horizontal="center" vertical="center"/>
    </xf>
    <xf numFmtId="37" fontId="7" fillId="2" borderId="0" xfId="4" applyFont="1" applyFill="1" applyBorder="1" applyAlignment="1">
      <alignment vertical="center"/>
    </xf>
    <xf numFmtId="37" fontId="7" fillId="2" borderId="0" xfId="4" applyFont="1" applyFill="1" applyBorder="1" applyAlignment="1">
      <alignment horizontal="center" vertical="center"/>
    </xf>
    <xf numFmtId="37" fontId="7" fillId="2" borderId="0" xfId="4" applyFont="1" applyFill="1" applyBorder="1" applyAlignment="1">
      <alignment horizontal="right" vertical="center"/>
    </xf>
    <xf numFmtId="37" fontId="7" fillId="2" borderId="0" xfId="4" applyFont="1" applyFill="1" applyBorder="1" applyAlignment="1">
      <alignment horizontal="center" vertical="center"/>
    </xf>
    <xf numFmtId="37" fontId="9" fillId="2" borderId="0" xfId="4" applyFont="1" applyFill="1" applyBorder="1" applyAlignment="1">
      <alignment horizontal="center" vertical="center"/>
    </xf>
    <xf numFmtId="166" fontId="6" fillId="2" borderId="0" xfId="4" applyNumberFormat="1" applyFont="1" applyFill="1" applyBorder="1" applyAlignment="1">
      <alignment horizontal="center" vertical="center"/>
    </xf>
    <xf numFmtId="166" fontId="4" fillId="2" borderId="0" xfId="4" applyNumberFormat="1" applyFont="1" applyFill="1" applyBorder="1" applyAlignment="1">
      <alignment horizontal="center" vertical="center"/>
    </xf>
    <xf numFmtId="1" fontId="7" fillId="2" borderId="0" xfId="0" applyNumberFormat="1" applyFont="1" applyFill="1" applyBorder="1" applyAlignment="1">
      <alignment horizontal="left" vertical="center"/>
    </xf>
    <xf numFmtId="1" fontId="6" fillId="2" borderId="13" xfId="0" applyNumberFormat="1" applyFont="1" applyFill="1" applyBorder="1" applyAlignment="1">
      <alignment horizontal="left" vertical="center"/>
    </xf>
    <xf numFmtId="166" fontId="4" fillId="2" borderId="0" xfId="4" quotePrefix="1" applyNumberFormat="1" applyFont="1" applyFill="1" applyBorder="1" applyAlignment="1">
      <alignment horizontal="center" vertical="center"/>
    </xf>
    <xf numFmtId="4" fontId="7" fillId="2" borderId="4" xfId="2" applyNumberFormat="1" applyFont="1" applyFill="1" applyBorder="1" applyAlignment="1" applyProtection="1">
      <alignment vertical="center"/>
    </xf>
    <xf numFmtId="37" fontId="7" fillId="2" borderId="12" xfId="4" applyFont="1" applyFill="1" applyBorder="1" applyAlignment="1">
      <alignment vertical="center"/>
    </xf>
    <xf numFmtId="4" fontId="7" fillId="2" borderId="4" xfId="2" applyNumberFormat="1" applyFont="1" applyFill="1" applyBorder="1" applyAlignment="1" applyProtection="1">
      <alignment horizontal="center" vertical="center"/>
    </xf>
    <xf numFmtId="1" fontId="7" fillId="2" borderId="12" xfId="4" applyNumberFormat="1" applyFont="1" applyFill="1" applyBorder="1" applyAlignment="1">
      <alignment horizontal="left" vertical="center"/>
    </xf>
    <xf numFmtId="1" fontId="7" fillId="2" borderId="0" xfId="4" applyNumberFormat="1" applyFont="1" applyFill="1" applyBorder="1" applyAlignment="1">
      <alignment vertical="center"/>
    </xf>
    <xf numFmtId="1" fontId="7" fillId="2" borderId="12" xfId="4" applyNumberFormat="1" applyFont="1" applyFill="1" applyBorder="1" applyAlignment="1">
      <alignment vertical="center"/>
    </xf>
    <xf numFmtId="1" fontId="7" fillId="2" borderId="13" xfId="0" applyNumberFormat="1" applyFont="1" applyFill="1" applyBorder="1" applyAlignment="1">
      <alignment horizontal="left" vertical="center"/>
    </xf>
    <xf numFmtId="4" fontId="39" fillId="2" borderId="4" xfId="2" applyNumberFormat="1" applyFont="1" applyFill="1" applyBorder="1" applyAlignment="1" applyProtection="1">
      <alignment vertical="center"/>
    </xf>
    <xf numFmtId="1" fontId="39" fillId="2" borderId="13" xfId="4" applyNumberFormat="1" applyFont="1" applyFill="1" applyBorder="1" applyAlignment="1">
      <alignment horizontal="left" vertical="center"/>
    </xf>
    <xf numFmtId="0" fontId="6" fillId="2" borderId="0" xfId="4" applyNumberFormat="1" applyFont="1" applyFill="1" applyBorder="1" applyAlignment="1">
      <alignment horizontal="center" vertical="center"/>
    </xf>
    <xf numFmtId="0" fontId="6" fillId="2" borderId="0" xfId="4" applyNumberFormat="1" applyFont="1" applyFill="1" applyBorder="1" applyAlignment="1">
      <alignment horizontal="right" vertical="center"/>
    </xf>
    <xf numFmtId="166" fontId="6" fillId="2" borderId="12" xfId="4" applyNumberFormat="1" applyFont="1" applyFill="1" applyBorder="1" applyAlignment="1">
      <alignment vertical="center"/>
    </xf>
    <xf numFmtId="4" fontId="6" fillId="2" borderId="9" xfId="2" applyNumberFormat="1" applyFont="1" applyFill="1" applyBorder="1" applyAlignment="1" applyProtection="1">
      <alignment vertical="center"/>
    </xf>
    <xf numFmtId="1" fontId="6" fillId="2" borderId="12" xfId="0" applyNumberFormat="1" applyFont="1" applyFill="1" applyBorder="1" applyAlignment="1">
      <alignment horizontal="center" vertical="center"/>
    </xf>
    <xf numFmtId="166" fontId="6" fillId="2" borderId="12" xfId="4" applyNumberFormat="1" applyFont="1" applyFill="1" applyBorder="1" applyAlignment="1">
      <alignment horizontal="center" vertical="center"/>
    </xf>
    <xf numFmtId="166" fontId="6" fillId="2" borderId="12" xfId="4" quotePrefix="1" applyNumberFormat="1" applyFont="1" applyFill="1" applyBorder="1" applyAlignment="1">
      <alignment horizontal="center" vertical="center"/>
    </xf>
    <xf numFmtId="166" fontId="4" fillId="2" borderId="12" xfId="4" quotePrefix="1" applyNumberFormat="1" applyFont="1" applyFill="1" applyBorder="1" applyAlignment="1">
      <alignment horizontal="center" vertical="center"/>
    </xf>
    <xf numFmtId="166" fontId="4" fillId="2" borderId="12" xfId="4" applyNumberFormat="1" applyFont="1" applyFill="1" applyBorder="1" applyAlignment="1">
      <alignment horizontal="center" vertical="center"/>
    </xf>
    <xf numFmtId="166" fontId="4" fillId="2" borderId="12" xfId="4" applyNumberFormat="1" applyFont="1" applyFill="1" applyBorder="1" applyAlignment="1">
      <alignment vertical="center"/>
    </xf>
    <xf numFmtId="1" fontId="4" fillId="2" borderId="13" xfId="4" applyNumberFormat="1" applyFont="1" applyFill="1" applyBorder="1" applyAlignment="1">
      <alignment vertical="center"/>
    </xf>
    <xf numFmtId="4" fontId="5" fillId="2" borderId="12" xfId="2" applyNumberFormat="1" applyFont="1" applyFill="1" applyBorder="1" applyAlignment="1" applyProtection="1">
      <alignment vertical="center"/>
    </xf>
    <xf numFmtId="4" fontId="39" fillId="2" borderId="12" xfId="2" applyNumberFormat="1" applyFont="1" applyFill="1" applyBorder="1" applyAlignment="1" applyProtection="1">
      <alignment vertical="center"/>
    </xf>
    <xf numFmtId="1" fontId="7" fillId="2" borderId="13" xfId="0" applyNumberFormat="1" applyFont="1" applyFill="1" applyBorder="1" applyAlignment="1">
      <alignment vertical="center"/>
    </xf>
    <xf numFmtId="1" fontId="7" fillId="2" borderId="11" xfId="0" applyNumberFormat="1" applyFont="1" applyFill="1" applyBorder="1" applyAlignment="1">
      <alignment vertical="center"/>
    </xf>
    <xf numFmtId="166" fontId="6" fillId="2" borderId="11" xfId="4" quotePrefix="1" applyNumberFormat="1" applyFont="1" applyFill="1" applyBorder="1" applyAlignment="1">
      <alignment horizontal="center" vertical="center"/>
    </xf>
    <xf numFmtId="166" fontId="6" fillId="2" borderId="11" xfId="4" applyNumberFormat="1" applyFont="1" applyFill="1" applyBorder="1" applyAlignment="1">
      <alignment horizontal="center" vertical="center"/>
    </xf>
    <xf numFmtId="166" fontId="6" fillId="2" borderId="11" xfId="4" applyNumberFormat="1" applyFont="1" applyFill="1" applyBorder="1" applyAlignment="1">
      <alignment vertical="center"/>
    </xf>
    <xf numFmtId="1" fontId="4" fillId="2" borderId="13" xfId="0" applyNumberFormat="1" applyFont="1" applyFill="1" applyBorder="1" applyAlignment="1">
      <alignment horizontal="center" vertical="center"/>
    </xf>
    <xf numFmtId="1" fontId="7" fillId="2" borderId="12" xfId="0" applyNumberFormat="1" applyFont="1" applyFill="1" applyBorder="1" applyAlignment="1">
      <alignment vertical="center"/>
    </xf>
    <xf numFmtId="1" fontId="7" fillId="2" borderId="12" xfId="0" applyNumberFormat="1" applyFont="1" applyFill="1" applyBorder="1" applyAlignment="1">
      <alignment horizontal="left" vertical="center"/>
    </xf>
    <xf numFmtId="4" fontId="29" fillId="2" borderId="12" xfId="2" applyNumberFormat="1" applyFont="1" applyFill="1" applyBorder="1" applyAlignment="1" applyProtection="1">
      <alignment vertical="center"/>
    </xf>
    <xf numFmtId="4" fontId="8" fillId="2" borderId="12" xfId="2" applyNumberFormat="1" applyFont="1" applyFill="1" applyBorder="1" applyAlignment="1" applyProtection="1">
      <alignment vertical="center"/>
    </xf>
    <xf numFmtId="1" fontId="39" fillId="2" borderId="13" xfId="4" applyNumberFormat="1" applyFont="1" applyFill="1" applyBorder="1" applyAlignment="1">
      <alignment vertical="center" wrapText="1"/>
    </xf>
    <xf numFmtId="1" fontId="39" fillId="2" borderId="11" xfId="4" applyNumberFormat="1" applyFont="1" applyFill="1" applyBorder="1" applyAlignment="1">
      <alignment vertical="center" wrapText="1"/>
    </xf>
    <xf numFmtId="1" fontId="7" fillId="2" borderId="16" xfId="4" applyNumberFormat="1" applyFont="1" applyFill="1" applyBorder="1" applyAlignment="1">
      <alignment horizontal="center" vertical="center"/>
    </xf>
    <xf numFmtId="4" fontId="7" fillId="2" borderId="14" xfId="2" applyNumberFormat="1" applyFont="1" applyFill="1" applyBorder="1" applyAlignment="1" applyProtection="1">
      <alignment vertical="center"/>
    </xf>
    <xf numFmtId="1" fontId="6" fillId="2" borderId="8" xfId="0" applyNumberFormat="1" applyFont="1" applyFill="1" applyBorder="1" applyAlignment="1">
      <alignment horizontal="center" vertical="center"/>
    </xf>
    <xf numFmtId="166" fontId="6" fillId="2" borderId="6" xfId="4" applyNumberFormat="1" applyFont="1" applyFill="1" applyBorder="1" applyAlignment="1">
      <alignment horizontal="center" vertical="center"/>
    </xf>
    <xf numFmtId="0" fontId="6" fillId="2" borderId="13" xfId="4" applyNumberFormat="1" applyFont="1" applyFill="1" applyBorder="1" applyAlignment="1">
      <alignment horizontal="right" vertical="center"/>
    </xf>
    <xf numFmtId="0" fontId="6" fillId="2" borderId="8" xfId="4" applyNumberFormat="1" applyFont="1" applyFill="1" applyBorder="1" applyAlignment="1">
      <alignment horizontal="right" vertical="center"/>
    </xf>
    <xf numFmtId="166" fontId="4" fillId="2" borderId="11" xfId="4" quotePrefix="1" applyNumberFormat="1" applyFont="1" applyFill="1" applyBorder="1" applyAlignment="1">
      <alignment horizontal="center" vertical="center"/>
    </xf>
    <xf numFmtId="166" fontId="4" fillId="2" borderId="12" xfId="4" applyNumberFormat="1" applyFont="1" applyFill="1" applyBorder="1" applyAlignment="1">
      <alignment horizontal="left" vertical="center"/>
    </xf>
    <xf numFmtId="1" fontId="39" fillId="2" borderId="12" xfId="4" applyNumberFormat="1" applyFont="1" applyFill="1" applyBorder="1" applyAlignment="1">
      <alignment vertical="center" wrapText="1"/>
    </xf>
    <xf numFmtId="166" fontId="4" fillId="2" borderId="9" xfId="4" quotePrefix="1" applyNumberFormat="1" applyFont="1" applyFill="1" applyBorder="1" applyAlignment="1">
      <alignment horizontal="center" vertical="center"/>
    </xf>
    <xf numFmtId="166" fontId="4" fillId="2" borderId="11" xfId="4" applyNumberFormat="1" applyFont="1" applyFill="1" applyBorder="1" applyAlignment="1">
      <alignment horizontal="center" vertical="center"/>
    </xf>
    <xf numFmtId="0" fontId="6" fillId="2" borderId="13" xfId="4" applyNumberFormat="1" applyFont="1" applyFill="1" applyBorder="1" applyAlignment="1">
      <alignment horizontal="center" vertical="center"/>
    </xf>
    <xf numFmtId="4" fontId="7" fillId="2" borderId="13" xfId="2" applyNumberFormat="1" applyFont="1" applyFill="1" applyBorder="1" applyAlignment="1" applyProtection="1">
      <alignment vertical="center"/>
    </xf>
    <xf numFmtId="4" fontId="5" fillId="2" borderId="13" xfId="2" applyNumberFormat="1" applyFont="1" applyFill="1" applyBorder="1" applyAlignment="1" applyProtection="1">
      <alignment vertical="center"/>
    </xf>
    <xf numFmtId="4" fontId="39" fillId="2" borderId="13" xfId="2" applyNumberFormat="1" applyFont="1" applyFill="1" applyBorder="1" applyAlignment="1" applyProtection="1">
      <alignment vertical="center"/>
    </xf>
    <xf numFmtId="1" fontId="7" fillId="2" borderId="2" xfId="4" applyNumberFormat="1" applyFont="1" applyFill="1" applyBorder="1" applyAlignment="1">
      <alignment vertical="center"/>
    </xf>
    <xf numFmtId="1" fontId="7" fillId="2" borderId="4" xfId="4" applyNumberFormat="1" applyFont="1" applyFill="1" applyBorder="1" applyAlignment="1">
      <alignment vertical="center"/>
    </xf>
    <xf numFmtId="1" fontId="8" fillId="2" borderId="2" xfId="4" applyNumberFormat="1" applyFont="1" applyFill="1" applyBorder="1" applyAlignment="1">
      <alignment vertical="center"/>
    </xf>
    <xf numFmtId="4" fontId="8" fillId="2" borderId="4" xfId="2" applyNumberFormat="1" applyFont="1" applyFill="1" applyBorder="1" applyAlignment="1" applyProtection="1">
      <alignment horizontal="center" vertical="center"/>
    </xf>
    <xf numFmtId="39" fontId="8" fillId="2" borderId="4" xfId="4" applyNumberFormat="1" applyFont="1" applyFill="1" applyBorder="1" applyAlignment="1">
      <alignment horizontal="center" vertical="center"/>
    </xf>
    <xf numFmtId="1" fontId="7" fillId="2" borderId="13" xfId="0" applyNumberFormat="1" applyFont="1" applyFill="1" applyBorder="1" applyAlignment="1">
      <alignment vertical="center" wrapText="1"/>
    </xf>
    <xf numFmtId="1" fontId="6" fillId="2" borderId="13" xfId="0" applyNumberFormat="1" applyFont="1" applyFill="1" applyBorder="1" applyAlignment="1">
      <alignment vertical="center" wrapText="1"/>
    </xf>
    <xf numFmtId="1" fontId="8" fillId="2" borderId="13" xfId="4" applyNumberFormat="1" applyFont="1" applyFill="1" applyBorder="1" applyAlignment="1">
      <alignment vertical="center"/>
    </xf>
    <xf numFmtId="39" fontId="8" fillId="2" borderId="16" xfId="4" applyNumberFormat="1" applyFont="1" applyFill="1" applyBorder="1" applyAlignment="1">
      <alignment horizontal="center" vertical="center"/>
    </xf>
    <xf numFmtId="4" fontId="8" fillId="2" borderId="16" xfId="2" applyNumberFormat="1" applyFont="1" applyFill="1" applyBorder="1" applyAlignment="1" applyProtection="1">
      <alignment vertical="center"/>
    </xf>
    <xf numFmtId="1" fontId="8" fillId="2" borderId="13" xfId="0" applyNumberFormat="1" applyFont="1" applyFill="1" applyBorder="1" applyAlignment="1">
      <alignment vertical="center"/>
    </xf>
    <xf numFmtId="2" fontId="8" fillId="2" borderId="12" xfId="4" applyNumberFormat="1" applyFont="1" applyFill="1" applyBorder="1" applyAlignment="1">
      <alignment horizontal="center" vertical="center"/>
    </xf>
    <xf numFmtId="2" fontId="8" fillId="2" borderId="11" xfId="2" applyNumberFormat="1" applyFont="1" applyFill="1" applyBorder="1" applyAlignment="1" applyProtection="1">
      <alignment horizontal="center" vertical="center"/>
    </xf>
    <xf numFmtId="1" fontId="8" fillId="2" borderId="15" xfId="0" applyNumberFormat="1" applyFont="1" applyFill="1" applyBorder="1" applyAlignment="1">
      <alignment horizontal="left" vertical="center"/>
    </xf>
    <xf numFmtId="2" fontId="8" fillId="2" borderId="16" xfId="4" applyNumberFormat="1" applyFont="1" applyFill="1" applyBorder="1" applyAlignment="1">
      <alignment horizontal="center" vertical="center"/>
    </xf>
    <xf numFmtId="37" fontId="7" fillId="5" borderId="16" xfId="4" applyFont="1" applyFill="1" applyBorder="1" applyAlignment="1">
      <alignment vertical="center" wrapText="1"/>
    </xf>
    <xf numFmtId="37" fontId="7" fillId="5" borderId="9" xfId="4" applyFont="1" applyFill="1" applyBorder="1" applyAlignment="1">
      <alignment vertical="center" wrapText="1"/>
    </xf>
    <xf numFmtId="37" fontId="39" fillId="5" borderId="16" xfId="4" applyFont="1" applyFill="1" applyBorder="1" applyAlignment="1">
      <alignment vertical="center" wrapText="1"/>
    </xf>
    <xf numFmtId="37" fontId="39" fillId="5" borderId="9" xfId="4" applyFont="1" applyFill="1" applyBorder="1" applyAlignment="1">
      <alignment vertical="center" wrapText="1"/>
    </xf>
    <xf numFmtId="37" fontId="8" fillId="2" borderId="12" xfId="4" applyFont="1" applyFill="1" applyBorder="1" applyAlignment="1">
      <alignment horizontal="left" vertical="center"/>
    </xf>
    <xf numFmtId="172" fontId="6" fillId="2" borderId="9" xfId="2" applyNumberFormat="1" applyFont="1" applyFill="1" applyBorder="1" applyAlignment="1" applyProtection="1">
      <alignment horizontal="center" vertical="center"/>
    </xf>
    <xf numFmtId="39" fontId="7" fillId="2" borderId="12" xfId="4" applyNumberFormat="1" applyFont="1" applyFill="1" applyBorder="1" applyAlignment="1">
      <alignment horizontal="center" vertical="center"/>
    </xf>
    <xf numFmtId="172" fontId="6" fillId="2" borderId="12" xfId="2" applyNumberFormat="1" applyFont="1" applyFill="1" applyBorder="1" applyAlignment="1" applyProtection="1">
      <alignment horizontal="center" vertical="center"/>
    </xf>
    <xf numFmtId="37" fontId="8" fillId="2" borderId="2" xfId="4" applyFont="1" applyFill="1" applyBorder="1" applyAlignment="1">
      <alignment vertical="center"/>
    </xf>
    <xf numFmtId="37" fontId="8" fillId="2" borderId="4" xfId="4" applyFont="1" applyFill="1" applyBorder="1" applyAlignment="1">
      <alignment vertical="center"/>
    </xf>
    <xf numFmtId="37" fontId="8" fillId="2" borderId="3" xfId="4" applyFont="1" applyFill="1" applyBorder="1" applyAlignment="1">
      <alignment vertical="center"/>
    </xf>
    <xf numFmtId="39" fontId="8" fillId="2" borderId="12" xfId="4" applyNumberFormat="1" applyFont="1" applyFill="1" applyBorder="1" applyAlignment="1">
      <alignment horizontal="center" vertical="center"/>
    </xf>
    <xf numFmtId="39" fontId="8" fillId="2" borderId="11" xfId="4" applyNumberFormat="1" applyFont="1" applyFill="1" applyBorder="1" applyAlignment="1">
      <alignment horizontal="center" vertical="center"/>
    </xf>
    <xf numFmtId="37" fontId="9" fillId="2" borderId="12" xfId="4" applyFont="1" applyFill="1" applyBorder="1" applyAlignment="1">
      <alignment horizontal="center" vertical="center"/>
    </xf>
    <xf numFmtId="1" fontId="7" fillId="2" borderId="0" xfId="4" applyNumberFormat="1" applyFont="1" applyFill="1" applyBorder="1" applyAlignment="1">
      <alignment horizontal="center" vertical="center"/>
    </xf>
    <xf numFmtId="0" fontId="6" fillId="2" borderId="7" xfId="4" applyNumberFormat="1" applyFont="1" applyFill="1" applyBorder="1" applyAlignment="1">
      <alignment horizontal="center" vertical="center"/>
    </xf>
    <xf numFmtId="2" fontId="6" fillId="2" borderId="0" xfId="4" applyNumberFormat="1" applyFont="1" applyFill="1" applyBorder="1" applyAlignment="1">
      <alignment horizontal="right" vertical="center"/>
    </xf>
    <xf numFmtId="2" fontId="6" fillId="2" borderId="7" xfId="4" applyNumberFormat="1" applyFont="1" applyFill="1" applyBorder="1" applyAlignment="1">
      <alignment horizontal="right" vertical="center"/>
    </xf>
    <xf numFmtId="172" fontId="6" fillId="2" borderId="11" xfId="2" applyNumberFormat="1" applyFont="1" applyFill="1" applyBorder="1" applyAlignment="1" applyProtection="1">
      <alignment horizontal="center" vertical="center"/>
    </xf>
    <xf numFmtId="172" fontId="6" fillId="2" borderId="6" xfId="2" applyNumberFormat="1" applyFont="1" applyFill="1" applyBorder="1" applyAlignment="1" applyProtection="1">
      <alignment horizontal="center" vertical="center"/>
    </xf>
    <xf numFmtId="4" fontId="9" fillId="2" borderId="12" xfId="2" applyNumberFormat="1" applyFont="1" applyFill="1" applyBorder="1" applyAlignment="1" applyProtection="1">
      <alignment vertical="center"/>
    </xf>
    <xf numFmtId="37" fontId="6" fillId="2" borderId="12" xfId="4" applyFont="1" applyFill="1" applyBorder="1" applyAlignment="1">
      <alignment horizontal="center" vertical="center"/>
    </xf>
    <xf numFmtId="37" fontId="7" fillId="2" borderId="3" xfId="4" applyFont="1" applyFill="1" applyBorder="1" applyAlignment="1">
      <alignment horizontal="center" vertical="center"/>
    </xf>
    <xf numFmtId="49" fontId="6" fillId="2" borderId="9" xfId="4" applyNumberFormat="1" applyFont="1" applyFill="1" applyBorder="1" applyAlignment="1">
      <alignment horizontal="center" vertical="center"/>
    </xf>
    <xf numFmtId="3" fontId="6" fillId="2" borderId="0" xfId="4" applyNumberFormat="1" applyFont="1" applyFill="1" applyBorder="1" applyAlignment="1">
      <alignment horizontal="center" vertical="center"/>
    </xf>
    <xf numFmtId="1" fontId="6" fillId="2" borderId="12" xfId="4" applyNumberFormat="1" applyFont="1" applyFill="1" applyBorder="1" applyAlignment="1">
      <alignment horizontal="center" vertical="center"/>
    </xf>
    <xf numFmtId="1" fontId="8" fillId="2" borderId="12" xfId="4" applyNumberFormat="1" applyFont="1" applyFill="1" applyBorder="1" applyAlignment="1">
      <alignment horizontal="left" vertical="center"/>
    </xf>
    <xf numFmtId="4" fontId="4" fillId="2" borderId="5" xfId="2" applyNumberFormat="1" applyFont="1" applyFill="1" applyBorder="1" applyAlignment="1" applyProtection="1">
      <alignment vertical="center"/>
    </xf>
    <xf numFmtId="4" fontId="7" fillId="2" borderId="5" xfId="2" applyNumberFormat="1" applyFont="1" applyFill="1" applyBorder="1" applyAlignment="1" applyProtection="1">
      <alignment vertical="center"/>
    </xf>
    <xf numFmtId="37" fontId="6" fillId="2" borderId="0" xfId="4" applyFont="1" applyFill="1" applyBorder="1" applyAlignment="1">
      <alignment horizontal="centerContinuous" vertical="center"/>
    </xf>
    <xf numFmtId="49" fontId="6" fillId="2" borderId="12" xfId="4" applyNumberFormat="1" applyFont="1" applyFill="1" applyBorder="1" applyAlignment="1">
      <alignment horizontal="center" vertical="center"/>
    </xf>
    <xf numFmtId="1" fontId="8" fillId="2" borderId="16" xfId="4" applyNumberFormat="1" applyFont="1" applyFill="1" applyBorder="1" applyAlignment="1">
      <alignment vertical="center" wrapText="1"/>
    </xf>
    <xf numFmtId="1" fontId="8" fillId="2" borderId="12" xfId="4" applyNumberFormat="1" applyFont="1" applyFill="1" applyBorder="1" applyAlignment="1">
      <alignment vertical="center"/>
    </xf>
    <xf numFmtId="1" fontId="6" fillId="2" borderId="13" xfId="4" applyNumberFormat="1" applyFont="1" applyFill="1" applyBorder="1" applyAlignment="1">
      <alignment horizontal="right" vertical="center"/>
    </xf>
    <xf numFmtId="0" fontId="6" fillId="2" borderId="8" xfId="4" applyNumberFormat="1" applyFont="1" applyFill="1" applyBorder="1" applyAlignment="1">
      <alignment horizontal="center" vertical="center"/>
    </xf>
    <xf numFmtId="37" fontId="6" fillId="2" borderId="16" xfId="4" applyFont="1" applyFill="1" applyBorder="1" applyAlignment="1">
      <alignment horizontal="center" vertical="center"/>
    </xf>
    <xf numFmtId="0" fontId="6" fillId="2" borderId="7" xfId="4" applyNumberFormat="1" applyFont="1" applyFill="1" applyBorder="1" applyAlignment="1">
      <alignment horizontal="right" vertical="center"/>
    </xf>
    <xf numFmtId="39" fontId="8" fillId="2" borderId="16" xfId="4" applyNumberFormat="1" applyFont="1" applyFill="1" applyBorder="1" applyAlignment="1">
      <alignment horizontal="right" vertical="center"/>
    </xf>
    <xf numFmtId="1" fontId="8" fillId="2" borderId="12" xfId="0" applyNumberFormat="1" applyFont="1" applyFill="1" applyBorder="1" applyAlignment="1">
      <alignment horizontal="left" vertical="center"/>
    </xf>
    <xf numFmtId="2" fontId="6" fillId="2" borderId="11" xfId="2" applyNumberFormat="1" applyFont="1" applyFill="1" applyBorder="1" applyAlignment="1" applyProtection="1">
      <alignment horizontal="center" vertical="center"/>
    </xf>
    <xf numFmtId="0" fontId="6" fillId="2" borderId="15" xfId="4" applyNumberFormat="1" applyFont="1" applyFill="1" applyBorder="1" applyAlignment="1">
      <alignment horizontal="center" vertical="center"/>
    </xf>
    <xf numFmtId="1" fontId="8" fillId="2" borderId="13" xfId="0" applyNumberFormat="1" applyFont="1" applyFill="1" applyBorder="1" applyAlignment="1">
      <alignment horizontal="left" vertical="center"/>
    </xf>
    <xf numFmtId="1" fontId="8" fillId="2" borderId="16" xfId="4" applyNumberFormat="1" applyFont="1" applyFill="1" applyBorder="1" applyAlignment="1">
      <alignment horizontal="left" vertical="center"/>
    </xf>
    <xf numFmtId="1" fontId="6" fillId="2" borderId="15" xfId="4" applyNumberFormat="1" applyFont="1" applyFill="1" applyBorder="1" applyAlignment="1">
      <alignment horizontal="center" vertical="center"/>
    </xf>
    <xf numFmtId="2" fontId="8" fillId="2" borderId="10" xfId="2" applyNumberFormat="1" applyFont="1" applyFill="1" applyBorder="1" applyAlignment="1" applyProtection="1">
      <alignment horizontal="center" vertical="center"/>
    </xf>
    <xf numFmtId="1" fontId="8" fillId="2" borderId="16" xfId="0" applyNumberFormat="1" applyFont="1" applyFill="1" applyBorder="1" applyAlignment="1">
      <alignment horizontal="left" vertical="center"/>
    </xf>
    <xf numFmtId="166" fontId="6" fillId="2" borderId="10" xfId="4" applyNumberFormat="1" applyFont="1" applyFill="1" applyBorder="1" applyAlignment="1">
      <alignment horizontal="center" vertical="center"/>
    </xf>
    <xf numFmtId="1" fontId="6" fillId="2" borderId="15" xfId="4" applyNumberFormat="1" applyFont="1" applyFill="1" applyBorder="1" applyAlignment="1">
      <alignment horizontal="right" vertical="center"/>
    </xf>
    <xf numFmtId="37" fontId="6" fillId="2" borderId="28" xfId="4" applyFont="1" applyFill="1" applyBorder="1" applyAlignment="1">
      <alignment horizontal="center" vertical="center"/>
    </xf>
    <xf numFmtId="0" fontId="39" fillId="5" borderId="16" xfId="4" applyNumberFormat="1" applyFont="1" applyFill="1" applyBorder="1" applyAlignment="1">
      <alignment vertical="center" wrapText="1"/>
    </xf>
    <xf numFmtId="0" fontId="39" fillId="5" borderId="9" xfId="4" applyNumberFormat="1" applyFont="1" applyFill="1" applyBorder="1" applyAlignment="1">
      <alignment vertical="center" wrapText="1"/>
    </xf>
    <xf numFmtId="1" fontId="6" fillId="2" borderId="0" xfId="4" applyNumberFormat="1" applyFont="1" applyFill="1" applyBorder="1" applyAlignment="1">
      <alignment horizontal="center" vertical="center"/>
    </xf>
    <xf numFmtId="37" fontId="9" fillId="2" borderId="13" xfId="4" applyFont="1" applyFill="1" applyBorder="1" applyAlignment="1">
      <alignment horizontal="left" vertical="center"/>
    </xf>
    <xf numFmtId="37" fontId="9" fillId="2" borderId="0" xfId="4" applyFont="1" applyFill="1" applyBorder="1" applyAlignment="1">
      <alignment horizontal="left" vertical="center"/>
    </xf>
    <xf numFmtId="0" fontId="9" fillId="2" borderId="0" xfId="4" applyNumberFormat="1" applyFont="1" applyFill="1" applyBorder="1" applyAlignment="1">
      <alignment horizontal="left" vertical="center"/>
    </xf>
    <xf numFmtId="37" fontId="9" fillId="2" borderId="13" xfId="4" applyFont="1" applyFill="1" applyBorder="1" applyAlignment="1">
      <alignment vertical="center"/>
    </xf>
    <xf numFmtId="37" fontId="6" fillId="2" borderId="0" xfId="4" applyFont="1" applyFill="1" applyBorder="1" applyAlignment="1">
      <alignment vertical="center"/>
    </xf>
    <xf numFmtId="37" fontId="6" fillId="2" borderId="0" xfId="4" applyFont="1" applyFill="1" applyBorder="1" applyAlignment="1">
      <alignment horizontal="center" vertical="center"/>
    </xf>
    <xf numFmtId="1" fontId="4" fillId="2" borderId="0" xfId="4" quotePrefix="1" applyNumberFormat="1" applyFont="1" applyFill="1" applyBorder="1" applyAlignment="1">
      <alignment horizontal="center" vertical="center"/>
    </xf>
    <xf numFmtId="37" fontId="8" fillId="2" borderId="13" xfId="4" applyFont="1" applyFill="1" applyBorder="1" applyAlignment="1">
      <alignment vertical="center"/>
    </xf>
    <xf numFmtId="37" fontId="8" fillId="2" borderId="0" xfId="4" applyFont="1" applyFill="1" applyBorder="1" applyAlignment="1">
      <alignment vertical="center"/>
    </xf>
    <xf numFmtId="37" fontId="8" fillId="2" borderId="13" xfId="4" applyFont="1" applyFill="1" applyBorder="1" applyAlignment="1">
      <alignment vertical="center" wrapText="1"/>
    </xf>
    <xf numFmtId="37" fontId="8" fillId="2" borderId="12" xfId="4" applyFont="1" applyFill="1" applyBorder="1" applyAlignment="1">
      <alignment vertical="center"/>
    </xf>
    <xf numFmtId="37" fontId="9" fillId="2" borderId="12" xfId="4" applyFont="1" applyFill="1" applyBorder="1" applyAlignment="1">
      <alignment horizontal="left" vertical="center"/>
    </xf>
    <xf numFmtId="37" fontId="6" fillId="2" borderId="12" xfId="4" applyFont="1" applyFill="1" applyBorder="1" applyAlignment="1">
      <alignment vertical="center"/>
    </xf>
    <xf numFmtId="4" fontId="6" fillId="2" borderId="7" xfId="2" applyNumberFormat="1" applyFont="1" applyFill="1" applyBorder="1" applyAlignment="1" applyProtection="1">
      <alignment vertical="center"/>
    </xf>
    <xf numFmtId="1" fontId="5" fillId="2" borderId="13" xfId="0" applyNumberFormat="1" applyFont="1" applyFill="1" applyBorder="1" applyAlignment="1">
      <alignment horizontal="left" vertical="center"/>
    </xf>
    <xf numFmtId="2" fontId="5" fillId="2" borderId="12" xfId="4" quotePrefix="1" applyNumberFormat="1" applyFont="1" applyFill="1" applyBorder="1" applyAlignment="1">
      <alignment horizontal="center" vertical="center"/>
    </xf>
    <xf numFmtId="2" fontId="8" fillId="2" borderId="9" xfId="4" applyNumberFormat="1" applyFont="1" applyFill="1" applyBorder="1" applyAlignment="1">
      <alignment horizontal="center" vertical="center"/>
    </xf>
    <xf numFmtId="37" fontId="4" fillId="2" borderId="14" xfId="4" applyFont="1" applyFill="1" applyBorder="1" applyAlignment="1">
      <alignment horizontal="center" vertical="center"/>
    </xf>
    <xf numFmtId="37" fontId="6" fillId="2" borderId="0" xfId="5" applyFont="1" applyFill="1" applyAlignment="1">
      <alignment vertical="center"/>
    </xf>
    <xf numFmtId="37" fontId="5" fillId="2" borderId="13" xfId="4" applyFont="1" applyFill="1" applyBorder="1" applyAlignment="1">
      <alignment vertical="center"/>
    </xf>
    <xf numFmtId="37" fontId="5" fillId="2" borderId="15" xfId="4" applyFont="1" applyFill="1" applyBorder="1" applyAlignment="1">
      <alignment vertical="center" wrapText="1"/>
    </xf>
    <xf numFmtId="37" fontId="5" fillId="2" borderId="14" xfId="4" applyFont="1" applyFill="1" applyBorder="1" applyAlignment="1">
      <alignment vertical="center" wrapText="1"/>
    </xf>
    <xf numFmtId="0" fontId="4" fillId="2" borderId="9" xfId="4" applyNumberFormat="1" applyFont="1" applyFill="1" applyBorder="1" applyAlignment="1">
      <alignment horizontal="center" vertical="center"/>
    </xf>
    <xf numFmtId="4" fontId="4" fillId="2" borderId="9" xfId="2" applyNumberFormat="1" applyFont="1" applyFill="1" applyBorder="1" applyAlignment="1" applyProtection="1">
      <alignment vertical="center"/>
    </xf>
    <xf numFmtId="37" fontId="12" fillId="2" borderId="0" xfId="4" applyFont="1" applyFill="1" applyBorder="1" applyAlignment="1">
      <alignment horizontal="left" vertical="center" wrapText="1"/>
    </xf>
    <xf numFmtId="37" fontId="39" fillId="2" borderId="0" xfId="4" applyFont="1" applyFill="1" applyBorder="1" applyAlignment="1">
      <alignment horizontal="center" vertical="center" wrapText="1"/>
    </xf>
    <xf numFmtId="39" fontId="5" fillId="2" borderId="12" xfId="4" applyNumberFormat="1" applyFont="1" applyFill="1" applyBorder="1" applyAlignment="1">
      <alignment horizontal="center" vertical="center" wrapText="1"/>
    </xf>
    <xf numFmtId="4" fontId="4" fillId="2" borderId="12" xfId="2" applyNumberFormat="1" applyFont="1" applyFill="1" applyBorder="1" applyAlignment="1" applyProtection="1">
      <alignment vertical="center"/>
    </xf>
    <xf numFmtId="0" fontId="4" fillId="2" borderId="12" xfId="4" applyNumberFormat="1" applyFont="1" applyFill="1" applyBorder="1" applyAlignment="1">
      <alignment horizontal="center" vertical="center"/>
    </xf>
    <xf numFmtId="0" fontId="4" fillId="2" borderId="0" xfId="4" applyNumberFormat="1" applyFont="1" applyFill="1" applyBorder="1" applyAlignment="1">
      <alignment horizontal="center" vertical="center"/>
    </xf>
    <xf numFmtId="1" fontId="4" fillId="2" borderId="8" xfId="4" applyNumberFormat="1" applyFont="1" applyFill="1" applyBorder="1" applyAlignment="1">
      <alignment horizontal="center" vertical="center"/>
    </xf>
    <xf numFmtId="166" fontId="4" fillId="2" borderId="6" xfId="4" applyNumberFormat="1" applyFont="1" applyFill="1" applyBorder="1" applyAlignment="1">
      <alignment horizontal="center" vertical="center"/>
    </xf>
    <xf numFmtId="37" fontId="5" fillId="2" borderId="16" xfId="4" applyFont="1" applyFill="1" applyBorder="1" applyAlignment="1">
      <alignment vertical="center" wrapText="1"/>
    </xf>
    <xf numFmtId="37" fontId="12" fillId="2" borderId="12" xfId="4" applyFont="1" applyFill="1" applyBorder="1" applyAlignment="1">
      <alignment horizontal="left" vertical="center" wrapText="1"/>
    </xf>
    <xf numFmtId="1" fontId="5" fillId="2" borderId="15" xfId="0" applyNumberFormat="1" applyFont="1" applyFill="1" applyBorder="1" applyAlignment="1">
      <alignment horizontal="left" vertical="center"/>
    </xf>
    <xf numFmtId="166" fontId="4" fillId="2" borderId="16" xfId="4" quotePrefix="1" applyNumberFormat="1" applyFont="1" applyFill="1" applyBorder="1" applyAlignment="1">
      <alignment horizontal="center" vertical="center"/>
    </xf>
    <xf numFmtId="166" fontId="4" fillId="2" borderId="14" xfId="4" quotePrefix="1" applyNumberFormat="1" applyFont="1" applyFill="1" applyBorder="1" applyAlignment="1">
      <alignment horizontal="center" vertical="center"/>
    </xf>
    <xf numFmtId="37" fontId="39" fillId="2" borderId="14" xfId="4" applyFont="1" applyFill="1" applyBorder="1" applyAlignment="1">
      <alignment horizontal="center" vertical="center" wrapText="1"/>
    </xf>
    <xf numFmtId="4" fontId="39" fillId="2" borderId="14" xfId="2" applyNumberFormat="1" applyFont="1" applyFill="1" applyBorder="1" applyAlignment="1" applyProtection="1">
      <alignment vertical="center"/>
    </xf>
    <xf numFmtId="0" fontId="4" fillId="2" borderId="6" xfId="4" applyNumberFormat="1" applyFont="1" applyFill="1" applyBorder="1" applyAlignment="1">
      <alignment horizontal="center" vertical="center"/>
    </xf>
    <xf numFmtId="4" fontId="4" fillId="2" borderId="6" xfId="2" applyNumberFormat="1" applyFont="1" applyFill="1" applyBorder="1" applyAlignment="1" applyProtection="1">
      <alignment vertical="center"/>
    </xf>
    <xf numFmtId="37" fontId="12" fillId="2" borderId="10" xfId="4" applyFont="1" applyFill="1" applyBorder="1" applyAlignment="1">
      <alignment horizontal="left" vertical="center" wrapText="1"/>
    </xf>
    <xf numFmtId="4" fontId="5" fillId="2" borderId="10" xfId="2" applyNumberFormat="1" applyFont="1" applyFill="1" applyBorder="1" applyAlignment="1" applyProtection="1">
      <alignment vertical="center"/>
    </xf>
    <xf numFmtId="39" fontId="5" fillId="2" borderId="16" xfId="4" applyNumberFormat="1" applyFont="1" applyFill="1" applyBorder="1" applyAlignment="1">
      <alignment horizontal="center" vertical="center" wrapText="1"/>
    </xf>
    <xf numFmtId="4" fontId="5" fillId="2" borderId="11" xfId="2" applyNumberFormat="1" applyFont="1" applyFill="1" applyBorder="1" applyAlignment="1" applyProtection="1">
      <alignment vertical="center"/>
    </xf>
    <xf numFmtId="37" fontId="7" fillId="2" borderId="14" xfId="4" applyFont="1" applyFill="1" applyBorder="1" applyAlignment="1">
      <alignment horizontal="center" vertical="top"/>
    </xf>
    <xf numFmtId="4" fontId="6" fillId="2" borderId="0" xfId="4" applyNumberFormat="1" applyFont="1" applyFill="1" applyAlignment="1">
      <alignment vertical="center" wrapText="1"/>
    </xf>
    <xf numFmtId="1" fontId="6" fillId="2" borderId="13" xfId="4" applyNumberFormat="1" applyFont="1" applyFill="1" applyBorder="1" applyAlignment="1">
      <alignment horizontal="center" vertical="center" wrapText="1"/>
    </xf>
    <xf numFmtId="1" fontId="8" fillId="2" borderId="13" xfId="4" applyNumberFormat="1" applyFont="1" applyFill="1" applyBorder="1" applyAlignment="1">
      <alignment horizontal="left" vertical="center"/>
    </xf>
    <xf numFmtId="1" fontId="7" fillId="2" borderId="13" xfId="4" applyNumberFormat="1" applyFont="1" applyFill="1" applyBorder="1" applyAlignment="1">
      <alignment horizontal="center" vertical="center"/>
    </xf>
    <xf numFmtId="1" fontId="8" fillId="2" borderId="15" xfId="4" applyNumberFormat="1" applyFont="1" applyFill="1" applyBorder="1" applyAlignment="1">
      <alignment horizontal="left" vertical="center"/>
    </xf>
    <xf numFmtId="1" fontId="7" fillId="2" borderId="15" xfId="4" applyNumberFormat="1" applyFont="1" applyFill="1" applyBorder="1" applyAlignment="1">
      <alignment horizontal="center" vertical="center"/>
    </xf>
    <xf numFmtId="172" fontId="6" fillId="2" borderId="11" xfId="2" quotePrefix="1" applyNumberFormat="1" applyFont="1" applyFill="1" applyBorder="1" applyAlignment="1" applyProtection="1">
      <alignment horizontal="center" vertical="center"/>
    </xf>
    <xf numFmtId="2" fontId="6" fillId="2" borderId="11" xfId="2" quotePrefix="1" applyNumberFormat="1" applyFont="1" applyFill="1" applyBorder="1" applyAlignment="1" applyProtection="1">
      <alignment horizontal="center" vertical="center"/>
    </xf>
    <xf numFmtId="172" fontId="7" fillId="2" borderId="10" xfId="2" applyNumberFormat="1" applyFont="1" applyFill="1" applyBorder="1" applyAlignment="1" applyProtection="1">
      <alignment horizontal="center" vertical="center"/>
    </xf>
    <xf numFmtId="172" fontId="8" fillId="2" borderId="11" xfId="2" applyNumberFormat="1" applyFont="1" applyFill="1" applyBorder="1" applyAlignment="1" applyProtection="1">
      <alignment horizontal="center" vertical="center"/>
    </xf>
    <xf numFmtId="1" fontId="8" fillId="2" borderId="15" xfId="4" applyNumberFormat="1" applyFont="1" applyFill="1" applyBorder="1" applyAlignment="1">
      <alignment vertical="center"/>
    </xf>
    <xf numFmtId="172" fontId="8" fillId="2" borderId="10" xfId="2" applyNumberFormat="1" applyFont="1" applyFill="1" applyBorder="1" applyAlignment="1" applyProtection="1">
      <alignment horizontal="center" vertical="center"/>
    </xf>
    <xf numFmtId="172" fontId="8" fillId="2" borderId="16" xfId="2" applyNumberFormat="1" applyFont="1" applyFill="1" applyBorder="1" applyAlignment="1" applyProtection="1">
      <alignment horizontal="center" vertical="center"/>
    </xf>
    <xf numFmtId="172" fontId="8" fillId="2" borderId="12" xfId="2" applyNumberFormat="1" applyFont="1" applyFill="1" applyBorder="1" applyAlignment="1" applyProtection="1">
      <alignment horizontal="center" vertical="center"/>
    </xf>
    <xf numFmtId="172" fontId="6" fillId="2" borderId="12" xfId="2" quotePrefix="1" applyNumberFormat="1" applyFont="1" applyFill="1" applyBorder="1" applyAlignment="1" applyProtection="1">
      <alignment horizontal="center" vertical="center"/>
    </xf>
    <xf numFmtId="2" fontId="4" fillId="2" borderId="11" xfId="2" applyNumberFormat="1" applyFont="1" applyFill="1" applyBorder="1" applyAlignment="1" applyProtection="1">
      <alignment horizontal="center" vertical="center"/>
    </xf>
    <xf numFmtId="2" fontId="6" fillId="2" borderId="10" xfId="2" applyNumberFormat="1" applyFont="1" applyFill="1" applyBorder="1" applyAlignment="1" applyProtection="1">
      <alignment horizontal="center" vertical="center"/>
    </xf>
    <xf numFmtId="2" fontId="6" fillId="2" borderId="6" xfId="2" applyNumberFormat="1" applyFont="1" applyFill="1" applyBorder="1" applyAlignment="1" applyProtection="1">
      <alignment horizontal="center" vertical="center"/>
    </xf>
    <xf numFmtId="172" fontId="6" fillId="2" borderId="12" xfId="4" applyNumberFormat="1" applyFont="1" applyFill="1" applyBorder="1" applyAlignment="1">
      <alignment horizontal="center" vertical="center"/>
    </xf>
    <xf numFmtId="172" fontId="6" fillId="2" borderId="16" xfId="2" applyNumberFormat="1" applyFont="1" applyFill="1" applyBorder="1" applyAlignment="1" applyProtection="1">
      <alignment horizontal="center" vertical="center"/>
    </xf>
    <xf numFmtId="39" fontId="6" fillId="2" borderId="11" xfId="2" applyNumberFormat="1" applyFont="1" applyFill="1" applyBorder="1" applyAlignment="1" applyProtection="1">
      <alignment horizontal="center" vertical="center"/>
    </xf>
    <xf numFmtId="39" fontId="4" fillId="2" borderId="11" xfId="2" applyNumberFormat="1" applyFont="1" applyFill="1" applyBorder="1" applyAlignment="1" applyProtection="1">
      <alignment horizontal="center" vertical="center"/>
    </xf>
    <xf numFmtId="39" fontId="4" fillId="2" borderId="11" xfId="2" quotePrefix="1" applyNumberFormat="1" applyFont="1" applyFill="1" applyBorder="1" applyAlignment="1" applyProtection="1">
      <alignment horizontal="center" vertical="center"/>
    </xf>
    <xf numFmtId="39" fontId="8" fillId="2" borderId="11" xfId="2" applyNumberFormat="1" applyFont="1" applyFill="1" applyBorder="1" applyAlignment="1" applyProtection="1">
      <alignment horizontal="center" vertical="center"/>
    </xf>
    <xf numFmtId="39" fontId="48" fillId="2" borderId="11" xfId="1" applyNumberFormat="1" applyFont="1" applyFill="1" applyBorder="1" applyAlignment="1" applyProtection="1">
      <alignment horizontal="center" vertical="center"/>
    </xf>
    <xf numFmtId="39" fontId="7" fillId="2" borderId="11" xfId="2" applyNumberFormat="1" applyFont="1" applyFill="1" applyBorder="1" applyAlignment="1" applyProtection="1">
      <alignment horizontal="center" vertical="center"/>
    </xf>
    <xf numFmtId="39" fontId="6" fillId="2" borderId="11" xfId="2" quotePrefix="1" applyNumberFormat="1" applyFont="1" applyFill="1" applyBorder="1" applyAlignment="1" applyProtection="1">
      <alignment horizontal="center" vertical="center"/>
    </xf>
    <xf numFmtId="39" fontId="5" fillId="2" borderId="10" xfId="2" quotePrefix="1" applyNumberFormat="1" applyFont="1" applyFill="1" applyBorder="1" applyAlignment="1" applyProtection="1">
      <alignment horizontal="center" vertical="center"/>
    </xf>
    <xf numFmtId="39" fontId="4" fillId="2" borderId="6" xfId="2" quotePrefix="1" applyNumberFormat="1" applyFont="1" applyFill="1" applyBorder="1" applyAlignment="1" applyProtection="1">
      <alignment horizontal="center" vertical="center"/>
    </xf>
    <xf numFmtId="2" fontId="5" fillId="2" borderId="11" xfId="7" applyNumberFormat="1" applyFont="1" applyFill="1" applyBorder="1" applyAlignment="1" applyProtection="1">
      <alignment horizontal="center" vertical="center"/>
    </xf>
    <xf numFmtId="2" fontId="6" fillId="2" borderId="12" xfId="2" applyNumberFormat="1" applyFont="1" applyFill="1" applyBorder="1" applyAlignment="1" applyProtection="1">
      <alignment horizontal="center" vertical="center"/>
    </xf>
    <xf numFmtId="2" fontId="5" fillId="2" borderId="10" xfId="7" applyNumberFormat="1" applyFont="1" applyFill="1" applyBorder="1" applyAlignment="1" applyProtection="1">
      <alignment horizontal="center" vertical="center"/>
    </xf>
    <xf numFmtId="2" fontId="4" fillId="2" borderId="12" xfId="2" applyNumberFormat="1" applyFont="1" applyFill="1" applyBorder="1" applyAlignment="1" applyProtection="1">
      <alignment horizontal="center" vertical="center"/>
    </xf>
    <xf numFmtId="2" fontId="6" fillId="2" borderId="9" xfId="2" applyNumberFormat="1" applyFont="1" applyFill="1" applyBorder="1" applyAlignment="1" applyProtection="1">
      <alignment horizontal="center" vertical="center"/>
    </xf>
    <xf numFmtId="4" fontId="6" fillId="2" borderId="0" xfId="4" applyNumberFormat="1" applyFont="1" applyFill="1" applyBorder="1" applyAlignment="1">
      <alignment horizontal="right" vertical="center"/>
    </xf>
    <xf numFmtId="37" fontId="8" fillId="2" borderId="0" xfId="4" applyFont="1" applyFill="1" applyBorder="1" applyAlignment="1">
      <alignment horizontal="center" vertical="center"/>
    </xf>
    <xf numFmtId="37" fontId="8" fillId="2" borderId="13" xfId="4" applyFont="1" applyFill="1" applyBorder="1" applyAlignment="1">
      <alignment horizontal="center" vertical="center"/>
    </xf>
    <xf numFmtId="2" fontId="8" fillId="2" borderId="16" xfId="2" applyNumberFormat="1" applyFont="1" applyFill="1" applyBorder="1" applyAlignment="1" applyProtection="1">
      <alignment horizontal="center" vertical="center"/>
    </xf>
    <xf numFmtId="1" fontId="4" fillId="2" borderId="14" xfId="4" quotePrefix="1" applyNumberFormat="1" applyFont="1" applyFill="1" applyBorder="1" applyAlignment="1">
      <alignment horizontal="center" vertical="center"/>
    </xf>
    <xf numFmtId="1" fontId="5" fillId="2" borderId="15" xfId="0" applyNumberFormat="1" applyFont="1" applyFill="1" applyBorder="1" applyAlignment="1">
      <alignment horizontal="center" vertical="center"/>
    </xf>
    <xf numFmtId="2" fontId="5" fillId="2" borderId="16" xfId="4" quotePrefix="1" applyNumberFormat="1" applyFont="1" applyFill="1" applyBorder="1" applyAlignment="1">
      <alignment horizontal="center" vertical="center"/>
    </xf>
    <xf numFmtId="1" fontId="8" fillId="2" borderId="2" xfId="4" applyNumberFormat="1" applyFont="1" applyFill="1" applyBorder="1" applyAlignment="1">
      <alignment horizontal="left" vertical="center" wrapText="1"/>
    </xf>
    <xf numFmtId="2" fontId="8" fillId="2" borderId="5" xfId="2" applyNumberFormat="1" applyFont="1" applyFill="1" applyBorder="1" applyAlignment="1" applyProtection="1">
      <alignment horizontal="center" vertical="center"/>
    </xf>
    <xf numFmtId="2" fontId="8" fillId="2" borderId="2" xfId="4" applyNumberFormat="1" applyFont="1" applyFill="1" applyBorder="1" applyAlignment="1">
      <alignment vertical="center"/>
    </xf>
    <xf numFmtId="2" fontId="8" fillId="2" borderId="4" xfId="4" applyNumberFormat="1" applyFont="1" applyFill="1" applyBorder="1" applyAlignment="1">
      <alignment vertical="center"/>
    </xf>
    <xf numFmtId="2" fontId="8" fillId="2" borderId="3" xfId="4" applyNumberFormat="1" applyFont="1" applyFill="1" applyBorder="1" applyAlignment="1">
      <alignment vertical="center"/>
    </xf>
    <xf numFmtId="2" fontId="8" fillId="2" borderId="3" xfId="4" applyNumberFormat="1" applyFont="1" applyFill="1" applyBorder="1" applyAlignment="1">
      <alignment horizontal="left" vertical="center"/>
    </xf>
    <xf numFmtId="2" fontId="8" fillId="2" borderId="4" xfId="4" applyNumberFormat="1" applyFont="1" applyFill="1" applyBorder="1" applyAlignment="1">
      <alignment horizontal="left" vertical="center"/>
    </xf>
    <xf numFmtId="1" fontId="6" fillId="2" borderId="8" xfId="4" applyNumberFormat="1" applyFont="1" applyFill="1" applyBorder="1" applyAlignment="1">
      <alignment horizontal="center" vertical="center"/>
    </xf>
    <xf numFmtId="4" fontId="5" fillId="2" borderId="14" xfId="2" applyNumberFormat="1" applyFont="1" applyFill="1" applyBorder="1" applyAlignment="1" applyProtection="1">
      <alignment vertical="center"/>
    </xf>
    <xf numFmtId="4" fontId="6" fillId="2" borderId="7" xfId="4" applyNumberFormat="1" applyFont="1" applyFill="1" applyBorder="1" applyAlignment="1">
      <alignment horizontal="right" vertical="center"/>
    </xf>
    <xf numFmtId="37" fontId="8" fillId="2" borderId="2" xfId="4" applyFont="1" applyFill="1" applyBorder="1" applyAlignment="1">
      <alignment vertical="center" wrapText="1"/>
    </xf>
    <xf numFmtId="2" fontId="6" fillId="2" borderId="9" xfId="4" applyNumberFormat="1" applyFont="1" applyFill="1" applyBorder="1" applyAlignment="1">
      <alignment horizontal="center" vertical="center"/>
    </xf>
    <xf numFmtId="2" fontId="6" fillId="2" borderId="6" xfId="2" quotePrefix="1" applyNumberFormat="1" applyFont="1" applyFill="1" applyBorder="1" applyAlignment="1" applyProtection="1">
      <alignment horizontal="center" vertical="center"/>
    </xf>
    <xf numFmtId="2" fontId="8" fillId="2" borderId="12" xfId="2" quotePrefix="1" applyNumberFormat="1" applyFont="1" applyFill="1" applyBorder="1" applyAlignment="1" applyProtection="1">
      <alignment horizontal="center" vertical="center"/>
    </xf>
    <xf numFmtId="49" fontId="37" fillId="0" borderId="1" xfId="5" applyNumberFormat="1" applyFont="1" applyBorder="1" applyAlignment="1">
      <alignment vertical="center" wrapText="1"/>
    </xf>
    <xf numFmtId="49" fontId="37" fillId="0" borderId="0" xfId="5" applyNumberFormat="1" applyFont="1" applyAlignment="1">
      <alignment vertical="center" wrapText="1"/>
    </xf>
    <xf numFmtId="49" fontId="35" fillId="0" borderId="1" xfId="5" applyNumberFormat="1" applyFont="1" applyBorder="1" applyAlignment="1">
      <alignment horizontal="left" vertical="center"/>
    </xf>
    <xf numFmtId="49" fontId="35" fillId="0" borderId="0" xfId="5" applyNumberFormat="1" applyFont="1" applyAlignment="1">
      <alignment horizontal="left" vertical="center"/>
    </xf>
    <xf numFmtId="49" fontId="25" fillId="0" borderId="1" xfId="5" applyNumberFormat="1" applyFont="1" applyBorder="1" applyAlignment="1">
      <alignment horizontal="left" vertical="center" wrapText="1" indent="2"/>
    </xf>
    <xf numFmtId="49" fontId="25" fillId="0" borderId="0" xfId="5" applyNumberFormat="1" applyFont="1" applyAlignment="1">
      <alignment horizontal="left" vertical="center" wrapText="1" indent="2"/>
    </xf>
    <xf numFmtId="49" fontId="25" fillId="0" borderId="11" xfId="5" applyNumberFormat="1" applyFont="1" applyBorder="1" applyAlignment="1">
      <alignment horizontal="left" vertical="center" wrapText="1" indent="2"/>
    </xf>
    <xf numFmtId="49" fontId="14" fillId="0" borderId="1" xfId="5" applyNumberFormat="1" applyFont="1" applyBorder="1" applyAlignment="1">
      <alignment horizontal="left" vertical="center" wrapText="1" indent="2"/>
    </xf>
    <xf numFmtId="49" fontId="14" fillId="0" borderId="0" xfId="5" applyNumberFormat="1" applyFont="1" applyAlignment="1">
      <alignment horizontal="left" vertical="center" wrapText="1" indent="2"/>
    </xf>
    <xf numFmtId="49" fontId="14" fillId="0" borderId="11" xfId="5" applyNumberFormat="1" applyFont="1" applyBorder="1" applyAlignment="1">
      <alignment horizontal="left" vertical="center" wrapText="1" indent="2"/>
    </xf>
    <xf numFmtId="49" fontId="25" fillId="0" borderId="1" xfId="5" applyNumberFormat="1" applyFont="1" applyBorder="1" applyAlignment="1">
      <alignment horizontal="left" vertical="center" wrapText="1"/>
    </xf>
    <xf numFmtId="49" fontId="25" fillId="0" borderId="0" xfId="5" applyNumberFormat="1" applyFont="1" applyAlignment="1">
      <alignment horizontal="left" vertical="center" wrapText="1"/>
    </xf>
    <xf numFmtId="49" fontId="25" fillId="0" borderId="11" xfId="5" applyNumberFormat="1" applyFont="1" applyBorder="1" applyAlignment="1">
      <alignment horizontal="left" vertical="center" wrapText="1"/>
    </xf>
    <xf numFmtId="49" fontId="25" fillId="0" borderId="1" xfId="5" applyNumberFormat="1" applyFont="1" applyBorder="1" applyAlignment="1">
      <alignment horizontal="left" wrapText="1" indent="2"/>
    </xf>
    <xf numFmtId="49" fontId="25" fillId="0" borderId="0" xfId="5" applyNumberFormat="1" applyFont="1" applyAlignment="1">
      <alignment horizontal="left" wrapText="1" indent="2"/>
    </xf>
    <xf numFmtId="49" fontId="25" fillId="0" borderId="11" xfId="5" applyNumberFormat="1" applyFont="1" applyBorder="1" applyAlignment="1">
      <alignment horizontal="left" wrapText="1" indent="2"/>
    </xf>
    <xf numFmtId="49" fontId="25" fillId="0" borderId="1" xfId="5" applyNumberFormat="1" applyFont="1" applyBorder="1" applyAlignment="1">
      <alignment horizontal="left" wrapText="1"/>
    </xf>
    <xf numFmtId="49" fontId="25" fillId="0" borderId="0" xfId="5" applyNumberFormat="1" applyFont="1" applyAlignment="1">
      <alignment horizontal="left" wrapText="1"/>
    </xf>
    <xf numFmtId="49" fontId="25" fillId="0" borderId="11" xfId="5" applyNumberFormat="1" applyFont="1" applyBorder="1" applyAlignment="1">
      <alignment horizontal="left" wrapText="1"/>
    </xf>
    <xf numFmtId="49" fontId="25" fillId="0" borderId="1" xfId="5" applyNumberFormat="1" applyFont="1" applyBorder="1" applyAlignment="1">
      <alignment horizontal="left" vertical="center" wrapText="1" indent="1"/>
    </xf>
    <xf numFmtId="49" fontId="25" fillId="0" borderId="0" xfId="5" applyNumberFormat="1" applyFont="1" applyAlignment="1">
      <alignment horizontal="left" vertical="center" wrapText="1" indent="1"/>
    </xf>
    <xf numFmtId="49" fontId="25" fillId="0" borderId="11" xfId="5" applyNumberFormat="1" applyFont="1" applyBorder="1" applyAlignment="1">
      <alignment horizontal="left" vertical="center" wrapText="1" indent="1"/>
    </xf>
    <xf numFmtId="49" fontId="37" fillId="0" borderId="1" xfId="5" applyNumberFormat="1" applyFont="1" applyBorder="1" applyAlignment="1">
      <alignment vertical="center"/>
    </xf>
    <xf numFmtId="49" fontId="37" fillId="0" borderId="0" xfId="5" applyNumberFormat="1" applyFont="1" applyAlignment="1">
      <alignment vertical="center"/>
    </xf>
    <xf numFmtId="37" fontId="24" fillId="0" borderId="1" xfId="5" applyFont="1" applyBorder="1" applyAlignment="1">
      <alignment horizontal="center" wrapText="1"/>
    </xf>
    <xf numFmtId="37" fontId="24" fillId="0" borderId="0" xfId="5" applyFont="1" applyAlignment="1">
      <alignment horizontal="center" wrapText="1"/>
    </xf>
    <xf numFmtId="37" fontId="24" fillId="0" borderId="30" xfId="5" applyFont="1" applyBorder="1" applyAlignment="1">
      <alignment horizontal="center" wrapText="1"/>
    </xf>
    <xf numFmtId="4" fontId="7" fillId="0" borderId="0" xfId="5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7" fontId="7" fillId="0" borderId="0" xfId="5" applyFont="1" applyAlignment="1">
      <alignment horizontal="center" vertical="center"/>
    </xf>
    <xf numFmtId="37" fontId="14" fillId="0" borderId="1" xfId="5" applyFont="1" applyBorder="1" applyAlignment="1">
      <alignment horizontal="center" vertical="center"/>
    </xf>
    <xf numFmtId="37" fontId="14" fillId="0" borderId="0" xfId="5" applyFont="1" applyAlignment="1">
      <alignment horizontal="center" vertical="center"/>
    </xf>
    <xf numFmtId="37" fontId="24" fillId="0" borderId="1" xfId="5" applyFont="1" applyBorder="1" applyAlignment="1">
      <alignment horizontal="center" vertical="center" wrapText="1"/>
    </xf>
    <xf numFmtId="37" fontId="24" fillId="0" borderId="0" xfId="5" applyFont="1" applyAlignment="1">
      <alignment horizontal="center" vertical="center" wrapText="1"/>
    </xf>
    <xf numFmtId="37" fontId="24" fillId="0" borderId="30" xfId="5" applyFont="1" applyBorder="1" applyAlignment="1">
      <alignment horizontal="center" vertical="center" wrapText="1"/>
    </xf>
    <xf numFmtId="37" fontId="24" fillId="0" borderId="1" xfId="5" applyFont="1" applyBorder="1" applyAlignment="1">
      <alignment horizontal="center" vertical="center"/>
    </xf>
    <xf numFmtId="37" fontId="24" fillId="0" borderId="0" xfId="5" applyFont="1" applyAlignment="1">
      <alignment horizontal="center" vertical="center"/>
    </xf>
    <xf numFmtId="37" fontId="24" fillId="0" borderId="30" xfId="5" applyFont="1" applyBorder="1" applyAlignment="1">
      <alignment horizontal="center" vertical="center"/>
    </xf>
    <xf numFmtId="37" fontId="7" fillId="3" borderId="20" xfId="5" applyFont="1" applyFill="1" applyBorder="1" applyAlignment="1">
      <alignment horizontal="center" vertical="center" wrapText="1"/>
    </xf>
    <xf numFmtId="37" fontId="7" fillId="3" borderId="21" xfId="5" applyFont="1" applyFill="1" applyBorder="1" applyAlignment="1">
      <alignment horizontal="center" vertical="center" wrapText="1"/>
    </xf>
    <xf numFmtId="37" fontId="24" fillId="0" borderId="1" xfId="5" applyFont="1" applyBorder="1" applyAlignment="1">
      <alignment horizontal="center"/>
    </xf>
    <xf numFmtId="37" fontId="24" fillId="0" borderId="0" xfId="5" applyFont="1" applyAlignment="1">
      <alignment horizontal="center"/>
    </xf>
    <xf numFmtId="37" fontId="24" fillId="0" borderId="30" xfId="5" applyFont="1" applyBorder="1" applyAlignment="1">
      <alignment horizontal="center"/>
    </xf>
    <xf numFmtId="37" fontId="7" fillId="0" borderId="0" xfId="5" applyFont="1" applyAlignment="1">
      <alignment horizontal="center"/>
    </xf>
    <xf numFmtId="37" fontId="7" fillId="2" borderId="1" xfId="5" applyFont="1" applyFill="1" applyBorder="1" applyAlignment="1">
      <alignment horizontal="left"/>
    </xf>
    <xf numFmtId="37" fontId="7" fillId="2" borderId="0" xfId="5" applyFont="1" applyFill="1" applyAlignment="1">
      <alignment horizontal="left"/>
    </xf>
    <xf numFmtId="14" fontId="7" fillId="2" borderId="1" xfId="5" applyNumberFormat="1" applyFont="1" applyFill="1" applyBorder="1" applyAlignment="1">
      <alignment horizontal="left" vertical="center"/>
    </xf>
    <xf numFmtId="14" fontId="7" fillId="2" borderId="0" xfId="5" applyNumberFormat="1" applyFont="1" applyFill="1" applyAlignment="1">
      <alignment horizontal="left" vertical="center"/>
    </xf>
    <xf numFmtId="37" fontId="7" fillId="0" borderId="0" xfId="4" applyFont="1" applyAlignment="1">
      <alignment horizontal="center" vertical="center" wrapText="1"/>
    </xf>
    <xf numFmtId="49" fontId="25" fillId="2" borderId="34" xfId="5" applyNumberFormat="1" applyFont="1" applyFill="1" applyBorder="1" applyAlignment="1">
      <alignment horizontal="left" vertical="center" wrapText="1"/>
    </xf>
    <xf numFmtId="49" fontId="25" fillId="2" borderId="7" xfId="5" applyNumberFormat="1" applyFont="1" applyFill="1" applyBorder="1" applyAlignment="1">
      <alignment horizontal="left" vertical="center" wrapText="1"/>
    </xf>
    <xf numFmtId="49" fontId="25" fillId="2" borderId="6" xfId="5" applyNumberFormat="1" applyFont="1" applyFill="1" applyBorder="1" applyAlignment="1">
      <alignment horizontal="left" vertical="center" wrapText="1"/>
    </xf>
    <xf numFmtId="49" fontId="25" fillId="2" borderId="1" xfId="5" applyNumberFormat="1" applyFont="1" applyFill="1" applyBorder="1" applyAlignment="1">
      <alignment horizontal="left" vertical="center" wrapText="1"/>
    </xf>
    <xf numFmtId="49" fontId="25" fillId="2" borderId="0" xfId="5" applyNumberFormat="1" applyFont="1" applyFill="1" applyAlignment="1">
      <alignment horizontal="left" vertical="center" wrapText="1"/>
    </xf>
    <xf numFmtId="49" fontId="25" fillId="2" borderId="11" xfId="5" applyNumberFormat="1" applyFont="1" applyFill="1" applyBorder="1" applyAlignment="1">
      <alignment horizontal="left" vertical="center" wrapText="1"/>
    </xf>
    <xf numFmtId="49" fontId="8" fillId="2" borderId="36" xfId="5" applyNumberFormat="1" applyFont="1" applyFill="1" applyBorder="1" applyAlignment="1">
      <alignment vertical="center"/>
    </xf>
    <xf numFmtId="49" fontId="8" fillId="2" borderId="14" xfId="5" applyNumberFormat="1" applyFont="1" applyFill="1" applyBorder="1" applyAlignment="1">
      <alignment vertical="center"/>
    </xf>
    <xf numFmtId="49" fontId="8" fillId="2" borderId="10" xfId="5" applyNumberFormat="1" applyFont="1" applyFill="1" applyBorder="1" applyAlignment="1">
      <alignment vertical="center"/>
    </xf>
    <xf numFmtId="37" fontId="7" fillId="0" borderId="0" xfId="4" applyFont="1" applyAlignment="1">
      <alignment horizontal="center" wrapText="1"/>
    </xf>
    <xf numFmtId="49" fontId="8" fillId="2" borderId="38" xfId="5" applyNumberFormat="1" applyFont="1" applyFill="1" applyBorder="1" applyAlignment="1">
      <alignment vertical="center"/>
    </xf>
    <xf numFmtId="49" fontId="8" fillId="2" borderId="33" xfId="5" applyNumberFormat="1" applyFont="1" applyFill="1" applyBorder="1" applyAlignment="1">
      <alignment vertical="center"/>
    </xf>
    <xf numFmtId="49" fontId="8" fillId="2" borderId="32" xfId="5" applyNumberFormat="1" applyFont="1" applyFill="1" applyBorder="1" applyAlignment="1">
      <alignment vertical="center"/>
    </xf>
    <xf numFmtId="49" fontId="37" fillId="0" borderId="24" xfId="5" applyNumberFormat="1" applyFont="1" applyBorder="1" applyAlignment="1">
      <alignment vertical="center"/>
    </xf>
    <xf numFmtId="49" fontId="37" fillId="0" borderId="17" xfId="5" applyNumberFormat="1" applyFont="1" applyBorder="1" applyAlignment="1">
      <alignment vertical="center"/>
    </xf>
    <xf numFmtId="1" fontId="8" fillId="2" borderId="13" xfId="4" applyNumberFormat="1" applyFont="1" applyFill="1" applyBorder="1" applyAlignment="1">
      <alignment horizontal="center" vertical="center"/>
    </xf>
    <xf numFmtId="1" fontId="8" fillId="2" borderId="0" xfId="4" applyNumberFormat="1" applyFont="1" applyFill="1" applyAlignment="1">
      <alignment horizontal="center" vertical="center"/>
    </xf>
    <xf numFmtId="37" fontId="7" fillId="2" borderId="13" xfId="4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11" xfId="0" applyFont="1" applyFill="1" applyBorder="1" applyAlignment="1">
      <alignment vertical="center"/>
    </xf>
    <xf numFmtId="37" fontId="28" fillId="2" borderId="8" xfId="4" applyFont="1" applyFill="1" applyBorder="1" applyAlignment="1">
      <alignment horizontal="center" vertical="center"/>
    </xf>
    <xf numFmtId="37" fontId="28" fillId="2" borderId="7" xfId="4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7" fontId="28" fillId="2" borderId="0" xfId="4" applyFont="1" applyFill="1" applyAlignment="1">
      <alignment horizontal="center" vertical="center"/>
    </xf>
    <xf numFmtId="0" fontId="28" fillId="2" borderId="0" xfId="0" applyFont="1" applyFill="1" applyAlignment="1">
      <alignment vertical="center"/>
    </xf>
    <xf numFmtId="0" fontId="28" fillId="2" borderId="11" xfId="0" applyFont="1" applyFill="1" applyBorder="1" applyAlignment="1">
      <alignment vertical="center"/>
    </xf>
    <xf numFmtId="37" fontId="28" fillId="2" borderId="0" xfId="4" applyFont="1" applyFill="1" applyAlignment="1">
      <alignment horizontal="center" vertical="center" wrapText="1"/>
    </xf>
    <xf numFmtId="37" fontId="28" fillId="2" borderId="11" xfId="4" applyFont="1" applyFill="1" applyBorder="1" applyAlignment="1">
      <alignment horizontal="center" vertical="center" wrapText="1"/>
    </xf>
    <xf numFmtId="1" fontId="28" fillId="2" borderId="13" xfId="0" applyNumberFormat="1" applyFont="1" applyFill="1" applyBorder="1" applyAlignment="1">
      <alignment horizontal="left" vertical="center" wrapText="1"/>
    </xf>
    <xf numFmtId="37" fontId="28" fillId="2" borderId="13" xfId="4" applyFont="1" applyFill="1" applyBorder="1" applyAlignment="1">
      <alignment horizontal="center" vertical="center"/>
    </xf>
    <xf numFmtId="37" fontId="7" fillId="2" borderId="13" xfId="4" applyFont="1" applyFill="1" applyBorder="1" applyAlignment="1">
      <alignment horizontal="center" vertical="center"/>
    </xf>
    <xf numFmtId="37" fontId="7" fillId="2" borderId="8" xfId="4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37" fontId="8" fillId="2" borderId="8" xfId="4" applyFont="1" applyFill="1" applyBorder="1" applyAlignment="1">
      <alignment horizontal="center" vertical="center"/>
    </xf>
    <xf numFmtId="37" fontId="8" fillId="2" borderId="7" xfId="4" applyFont="1" applyFill="1" applyBorder="1" applyAlignment="1">
      <alignment horizontal="center" vertical="center"/>
    </xf>
    <xf numFmtId="37" fontId="8" fillId="2" borderId="2" xfId="4" applyFont="1" applyFill="1" applyBorder="1" applyAlignment="1">
      <alignment horizontal="center" vertical="center" wrapText="1"/>
    </xf>
    <xf numFmtId="37" fontId="8" fillId="2" borderId="3" xfId="4" applyFont="1" applyFill="1" applyBorder="1" applyAlignment="1">
      <alignment horizontal="center" vertical="center" wrapText="1"/>
    </xf>
    <xf numFmtId="37" fontId="6" fillId="2" borderId="10" xfId="4" applyFont="1" applyFill="1" applyBorder="1" applyAlignment="1">
      <alignment horizontal="center" vertical="center" wrapText="1"/>
    </xf>
    <xf numFmtId="37" fontId="6" fillId="2" borderId="6" xfId="4" applyFont="1" applyFill="1" applyBorder="1" applyAlignment="1">
      <alignment horizontal="center" vertical="center" wrapText="1"/>
    </xf>
    <xf numFmtId="37" fontId="7" fillId="2" borderId="0" xfId="4" applyFont="1" applyFill="1" applyBorder="1" applyAlignment="1">
      <alignment horizontal="center" vertical="center"/>
    </xf>
    <xf numFmtId="37" fontId="7" fillId="2" borderId="0" xfId="4" applyFont="1" applyFill="1" applyBorder="1" applyAlignment="1">
      <alignment horizontal="center" vertical="center" wrapText="1"/>
    </xf>
    <xf numFmtId="37" fontId="7" fillId="2" borderId="7" xfId="4" applyFont="1" applyFill="1" applyBorder="1" applyAlignment="1">
      <alignment horizontal="center" vertical="center"/>
    </xf>
    <xf numFmtId="37" fontId="7" fillId="5" borderId="4" xfId="4" applyFont="1" applyFill="1" applyBorder="1" applyAlignment="1">
      <alignment horizontal="center" vertical="center" wrapText="1"/>
    </xf>
    <xf numFmtId="37" fontId="39" fillId="5" borderId="4" xfId="4" applyFont="1" applyFill="1" applyBorder="1" applyAlignment="1">
      <alignment horizontal="center" vertical="center" wrapText="1"/>
    </xf>
    <xf numFmtId="37" fontId="7" fillId="5" borderId="16" xfId="4" applyFont="1" applyFill="1" applyBorder="1" applyAlignment="1">
      <alignment horizontal="center" vertical="center" wrapText="1"/>
    </xf>
    <xf numFmtId="37" fontId="7" fillId="5" borderId="9" xfId="4" applyFont="1" applyFill="1" applyBorder="1" applyAlignment="1">
      <alignment horizontal="center" vertical="center" wrapText="1"/>
    </xf>
    <xf numFmtId="4" fontId="7" fillId="2" borderId="0" xfId="4" applyNumberFormat="1" applyFont="1" applyFill="1" applyAlignment="1">
      <alignment horizontal="left" vertical="center"/>
    </xf>
    <xf numFmtId="4" fontId="7" fillId="2" borderId="0" xfId="4" applyNumberFormat="1" applyFont="1" applyFill="1" applyAlignment="1">
      <alignment horizontal="center" vertical="top" wrapText="1"/>
    </xf>
    <xf numFmtId="37" fontId="7" fillId="2" borderId="0" xfId="4" applyFont="1" applyFill="1" applyAlignment="1">
      <alignment horizontal="center" vertical="center" wrapText="1"/>
    </xf>
    <xf numFmtId="4" fontId="11" fillId="2" borderId="0" xfId="4" applyNumberFormat="1" applyFont="1" applyFill="1" applyAlignment="1">
      <alignment horizontal="center" vertical="center"/>
    </xf>
    <xf numFmtId="37" fontId="7" fillId="2" borderId="14" xfId="4" applyFont="1" applyFill="1" applyBorder="1" applyAlignment="1">
      <alignment horizontal="center" vertical="center"/>
    </xf>
    <xf numFmtId="4" fontId="6" fillId="2" borderId="0" xfId="4" applyNumberFormat="1" applyFont="1" applyFill="1" applyAlignment="1">
      <alignment horizontal="center" vertical="top" wrapText="1"/>
    </xf>
    <xf numFmtId="37" fontId="6" fillId="2" borderId="0" xfId="4" applyFont="1" applyFill="1" applyAlignment="1">
      <alignment horizontal="center" vertical="center" wrapText="1"/>
    </xf>
    <xf numFmtId="4" fontId="6" fillId="2" borderId="0" xfId="4" applyNumberFormat="1" applyFont="1" applyFill="1" applyAlignment="1">
      <alignment horizontal="left" vertical="center"/>
    </xf>
    <xf numFmtId="37" fontId="28" fillId="2" borderId="10" xfId="4" applyFont="1" applyFill="1" applyBorder="1" applyAlignment="1">
      <alignment horizontal="center" vertical="center" wrapText="1"/>
    </xf>
    <xf numFmtId="37" fontId="28" fillId="2" borderId="6" xfId="4" applyFont="1" applyFill="1" applyBorder="1" applyAlignment="1">
      <alignment horizontal="center" vertical="center" wrapText="1"/>
    </xf>
    <xf numFmtId="37" fontId="39" fillId="5" borderId="16" xfId="4" applyFont="1" applyFill="1" applyBorder="1" applyAlignment="1">
      <alignment horizontal="center" vertical="center" wrapText="1"/>
    </xf>
    <xf numFmtId="37" fontId="39" fillId="5" borderId="9" xfId="4" applyFont="1" applyFill="1" applyBorder="1" applyAlignment="1">
      <alignment horizontal="center" vertical="center" wrapText="1"/>
    </xf>
    <xf numFmtId="37" fontId="39" fillId="2" borderId="0" xfId="4" applyFont="1" applyFill="1" applyBorder="1" applyAlignment="1">
      <alignment horizontal="center" vertical="center"/>
    </xf>
    <xf numFmtId="37" fontId="39" fillId="2" borderId="0" xfId="4" applyFont="1" applyFill="1" applyBorder="1" applyAlignment="1">
      <alignment horizontal="center" vertical="center" wrapText="1"/>
    </xf>
    <xf numFmtId="37" fontId="39" fillId="2" borderId="7" xfId="4" applyFont="1" applyFill="1" applyBorder="1" applyAlignment="1">
      <alignment horizontal="center" vertical="center"/>
    </xf>
    <xf numFmtId="37" fontId="19" fillId="2" borderId="0" xfId="4" applyFont="1" applyFill="1" applyAlignment="1">
      <alignment horizontal="center" vertical="center"/>
    </xf>
    <xf numFmtId="37" fontId="19" fillId="2" borderId="11" xfId="4" applyFont="1" applyFill="1" applyBorder="1" applyAlignment="1">
      <alignment horizontal="center" vertical="center"/>
    </xf>
    <xf numFmtId="37" fontId="20" fillId="2" borderId="0" xfId="4" applyFont="1" applyFill="1" applyAlignment="1">
      <alignment horizontal="center" vertical="center"/>
    </xf>
    <xf numFmtId="37" fontId="20" fillId="2" borderId="11" xfId="4" applyFont="1" applyFill="1" applyBorder="1" applyAlignment="1">
      <alignment horizontal="center" vertical="center"/>
    </xf>
    <xf numFmtId="37" fontId="20" fillId="2" borderId="7" xfId="4" applyFont="1" applyFill="1" applyBorder="1" applyAlignment="1">
      <alignment horizontal="center" vertical="center"/>
    </xf>
    <xf numFmtId="37" fontId="20" fillId="2" borderId="6" xfId="4" applyFont="1" applyFill="1" applyBorder="1" applyAlignment="1">
      <alignment horizontal="center" vertical="center"/>
    </xf>
    <xf numFmtId="37" fontId="6" fillId="2" borderId="13" xfId="4" applyFont="1" applyFill="1" applyBorder="1" applyAlignment="1">
      <alignment horizontal="center"/>
    </xf>
    <xf numFmtId="37" fontId="6" fillId="2" borderId="0" xfId="4" applyFont="1" applyFill="1" applyAlignment="1">
      <alignment horizontal="center"/>
    </xf>
    <xf numFmtId="37" fontId="6" fillId="2" borderId="11" xfId="4" applyFont="1" applyFill="1" applyBorder="1" applyAlignment="1">
      <alignment horizontal="center"/>
    </xf>
    <xf numFmtId="37" fontId="22" fillId="2" borderId="13" xfId="5" applyFont="1" applyFill="1" applyBorder="1" applyAlignment="1">
      <alignment horizontal="left" vertical="center"/>
    </xf>
    <xf numFmtId="37" fontId="22" fillId="2" borderId="0" xfId="5" applyFont="1" applyFill="1" applyAlignment="1">
      <alignment horizontal="left" vertical="center"/>
    </xf>
    <xf numFmtId="37" fontId="22" fillId="2" borderId="11" xfId="5" applyFont="1" applyFill="1" applyBorder="1" applyAlignment="1">
      <alignment horizontal="left" vertical="center"/>
    </xf>
    <xf numFmtId="1" fontId="19" fillId="2" borderId="13" xfId="4" applyNumberFormat="1" applyFont="1" applyFill="1" applyBorder="1" applyAlignment="1">
      <alignment horizontal="left" vertical="top"/>
    </xf>
    <xf numFmtId="1" fontId="19" fillId="2" borderId="0" xfId="4" applyNumberFormat="1" applyFont="1" applyFill="1" applyAlignment="1">
      <alignment horizontal="left" vertical="top"/>
    </xf>
    <xf numFmtId="1" fontId="19" fillId="2" borderId="11" xfId="4" applyNumberFormat="1" applyFont="1" applyFill="1" applyBorder="1" applyAlignment="1">
      <alignment horizontal="left" vertical="top"/>
    </xf>
    <xf numFmtId="37" fontId="6" fillId="2" borderId="13" xfId="4" applyFont="1" applyFill="1" applyBorder="1" applyAlignment="1">
      <alignment horizontal="center" vertical="center"/>
    </xf>
    <xf numFmtId="37" fontId="6" fillId="2" borderId="0" xfId="4" applyFont="1" applyFill="1" applyAlignment="1">
      <alignment horizontal="center" vertical="center"/>
    </xf>
    <xf numFmtId="14" fontId="19" fillId="2" borderId="13" xfId="5" applyNumberFormat="1" applyFont="1" applyFill="1" applyBorder="1" applyAlignment="1">
      <alignment horizontal="left" vertical="center"/>
    </xf>
    <xf numFmtId="14" fontId="19" fillId="2" borderId="0" xfId="5" applyNumberFormat="1" applyFont="1" applyFill="1" applyAlignment="1">
      <alignment horizontal="left" vertical="center"/>
    </xf>
    <xf numFmtId="14" fontId="19" fillId="2" borderId="11" xfId="5" applyNumberFormat="1" applyFont="1" applyFill="1" applyBorder="1" applyAlignment="1">
      <alignment horizontal="left" vertical="center"/>
    </xf>
    <xf numFmtId="37" fontId="20" fillId="2" borderId="13" xfId="4" applyFont="1" applyFill="1" applyBorder="1" applyAlignment="1">
      <alignment horizontal="center" vertical="center"/>
    </xf>
    <xf numFmtId="37" fontId="20" fillId="2" borderId="8" xfId="4" applyFont="1" applyFill="1" applyBorder="1" applyAlignment="1">
      <alignment horizontal="center" vertical="center"/>
    </xf>
    <xf numFmtId="37" fontId="6" fillId="2" borderId="0" xfId="4" applyFont="1" applyFill="1" applyAlignment="1">
      <alignment horizontal="left"/>
    </xf>
    <xf numFmtId="37" fontId="6" fillId="2" borderId="0" xfId="4" applyFont="1" applyFill="1" applyAlignment="1">
      <alignment horizontal="center" vertical="top"/>
    </xf>
    <xf numFmtId="37" fontId="6" fillId="2" borderId="0" xfId="4" applyFont="1" applyFill="1" applyAlignment="1">
      <alignment horizontal="right"/>
    </xf>
    <xf numFmtId="37" fontId="6" fillId="2" borderId="13" xfId="4" applyFont="1" applyFill="1" applyBorder="1" applyAlignment="1">
      <alignment horizontal="center" vertical="center" wrapText="1"/>
    </xf>
    <xf numFmtId="37" fontId="6" fillId="2" borderId="11" xfId="4" applyFont="1" applyFill="1" applyBorder="1" applyAlignment="1">
      <alignment horizontal="center" vertical="center" wrapText="1"/>
    </xf>
    <xf numFmtId="37" fontId="6" fillId="2" borderId="11" xfId="4" applyFont="1" applyFill="1" applyBorder="1" applyAlignment="1">
      <alignment horizontal="center" vertical="center"/>
    </xf>
    <xf numFmtId="14" fontId="19" fillId="2" borderId="8" xfId="5" applyNumberFormat="1" applyFont="1" applyFill="1" applyBorder="1" applyAlignment="1">
      <alignment horizontal="left" vertical="center"/>
    </xf>
    <xf numFmtId="14" fontId="19" fillId="2" borderId="7" xfId="5" applyNumberFormat="1" applyFont="1" applyFill="1" applyBorder="1" applyAlignment="1">
      <alignment horizontal="left" vertical="center"/>
    </xf>
    <xf numFmtId="14" fontId="19" fillId="2" borderId="6" xfId="5" applyNumberFormat="1" applyFont="1" applyFill="1" applyBorder="1" applyAlignment="1">
      <alignment horizontal="left" vertical="center"/>
    </xf>
    <xf numFmtId="37" fontId="22" fillId="2" borderId="15" xfId="5" applyFont="1" applyFill="1" applyBorder="1" applyAlignment="1">
      <alignment horizontal="left"/>
    </xf>
    <xf numFmtId="37" fontId="22" fillId="2" borderId="14" xfId="5" applyFont="1" applyFill="1" applyBorder="1" applyAlignment="1">
      <alignment horizontal="left"/>
    </xf>
    <xf numFmtId="37" fontId="22" fillId="2" borderId="10" xfId="5" applyFont="1" applyFill="1" applyBorder="1" applyAlignment="1">
      <alignment horizontal="left"/>
    </xf>
    <xf numFmtId="37" fontId="19" fillId="2" borderId="2" xfId="4" applyFont="1" applyFill="1" applyBorder="1" applyAlignment="1">
      <alignment horizontal="right" vertical="center" wrapText="1"/>
    </xf>
    <xf numFmtId="37" fontId="19" fillId="2" borderId="3" xfId="4" applyFont="1" applyFill="1" applyBorder="1" applyAlignment="1">
      <alignment horizontal="right" vertical="center" wrapText="1"/>
    </xf>
    <xf numFmtId="37" fontId="19" fillId="2" borderId="3" xfId="4" applyFont="1" applyFill="1" applyBorder="1" applyAlignment="1">
      <alignment horizontal="right" vertical="center"/>
    </xf>
    <xf numFmtId="37" fontId="6" fillId="2" borderId="15" xfId="4" applyFont="1" applyFill="1" applyBorder="1" applyAlignment="1">
      <alignment horizontal="center" vertical="center"/>
    </xf>
    <xf numFmtId="37" fontId="6" fillId="2" borderId="14" xfId="4" applyFont="1" applyFill="1" applyBorder="1" applyAlignment="1">
      <alignment horizontal="center" vertical="center"/>
    </xf>
    <xf numFmtId="37" fontId="6" fillId="2" borderId="10" xfId="4" applyFont="1" applyFill="1" applyBorder="1" applyAlignment="1">
      <alignment horizontal="center" vertical="center"/>
    </xf>
    <xf numFmtId="37" fontId="22" fillId="2" borderId="8" xfId="4" applyFont="1" applyFill="1" applyBorder="1" applyAlignment="1">
      <alignment horizontal="left" vertical="center" wrapText="1"/>
    </xf>
    <xf numFmtId="37" fontId="22" fillId="2" borderId="7" xfId="4" applyFont="1" applyFill="1" applyBorder="1" applyAlignment="1">
      <alignment horizontal="left" vertical="center" wrapText="1"/>
    </xf>
    <xf numFmtId="37" fontId="22" fillId="2" borderId="6" xfId="4" applyFont="1" applyFill="1" applyBorder="1" applyAlignment="1">
      <alignment horizontal="left" vertical="center" wrapText="1"/>
    </xf>
  </cellXfs>
  <cellStyles count="8">
    <cellStyle name="Hipervínculo" xfId="6" builtinId="8"/>
    <cellStyle name="Millares" xfId="1" builtinId="3"/>
    <cellStyle name="Moneda 2" xfId="2"/>
    <cellStyle name="Moneda_RESUMEN DE NOVIEMBRE PF 2011" xfId="3"/>
    <cellStyle name="Normal" xfId="0" builtinId="0"/>
    <cellStyle name="Normal 2" xfId="4"/>
    <cellStyle name="Normal_RESUMEN DE NOVIEMBRE PF 2011" xfId="5"/>
    <cellStyle name="Porcentaje" xfId="7" builtinId="5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6633"/>
      <color rgb="FF008000"/>
      <color rgb="FF030CBD"/>
      <color rgb="FFFFFF99"/>
      <color rgb="FFFF33CC"/>
      <color rgb="FFFF6600"/>
      <color rgb="FFFF9933"/>
      <color rgb="FFF8F4A6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44824</xdr:colOff>
      <xdr:row>271</xdr:row>
      <xdr:rowOff>78441</xdr:rowOff>
    </xdr:from>
    <xdr:to>
      <xdr:col>5</xdr:col>
      <xdr:colOff>931242</xdr:colOff>
      <xdr:row>271</xdr:row>
      <xdr:rowOff>287895</xdr:rowOff>
    </xdr:to>
    <xdr:pic>
      <xdr:nvPicPr>
        <xdr:cNvPr id="74438" name="Picture 13">
          <a:extLst>
            <a:ext uri="{FF2B5EF4-FFF2-40B4-BE49-F238E27FC236}">
              <a16:creationId xmlns:a16="http://schemas.microsoft.com/office/drawing/2014/main" xmlns="" id="{00000000-0008-0000-0200-0000C622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10500" y="176750382"/>
          <a:ext cx="890821" cy="213052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109483</xdr:colOff>
      <xdr:row>5</xdr:row>
      <xdr:rowOff>98534</xdr:rowOff>
    </xdr:from>
    <xdr:to>
      <xdr:col>5</xdr:col>
      <xdr:colOff>913448</xdr:colOff>
      <xdr:row>5</xdr:row>
      <xdr:rowOff>284654</xdr:rowOff>
    </xdr:to>
    <xdr:pic>
      <xdr:nvPicPr>
        <xdr:cNvPr id="74439" name="Picture 13">
          <a:extLst>
            <a:ext uri="{FF2B5EF4-FFF2-40B4-BE49-F238E27FC236}">
              <a16:creationId xmlns:a16="http://schemas.microsoft.com/office/drawing/2014/main" xmlns="" id="{00000000-0008-0000-0200-0000C722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94483" y="1193362"/>
          <a:ext cx="810171" cy="18612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1619250</xdr:colOff>
      <xdr:row>6</xdr:row>
      <xdr:rowOff>285750</xdr:rowOff>
    </xdr:from>
    <xdr:to>
      <xdr:col>4</xdr:col>
      <xdr:colOff>2400300</xdr:colOff>
      <xdr:row>6</xdr:row>
      <xdr:rowOff>552450</xdr:rowOff>
    </xdr:to>
    <xdr:sp macro="" textlink="">
      <xdr:nvSpPr>
        <xdr:cNvPr id="2" name="AutoShape 2" descr="Granito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>
          <a:spLocks noChangeArrowheads="1"/>
        </xdr:cNvSpPr>
      </xdr:nvSpPr>
      <xdr:spPr bwMode="auto">
        <a:xfrm>
          <a:off x="17325975" y="6362700"/>
          <a:ext cx="781050" cy="266700"/>
        </a:xfrm>
        <a:prstGeom prst="notchedRightArrow">
          <a:avLst>
            <a:gd name="adj1" fmla="val 0"/>
            <a:gd name="adj2" fmla="val 115435"/>
          </a:avLst>
        </a:prstGeom>
        <a:blipFill dpi="0" rotWithShape="0">
          <a:blip xmlns:r="http://schemas.openxmlformats.org/officeDocument/2006/relationships" r:embed="rId1" cstate="print"/>
          <a:srcRect/>
          <a:tile tx="0" ty="0" sx="100000" sy="100000" flip="none" algn="tl"/>
        </a:blipFill>
        <a:ln w="19050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4D4D4D"/>
          </a:outerShdw>
        </a:effectLst>
      </xdr:spPr>
      <xdr:txBody>
        <a:bodyPr vertOverflow="clip" wrap="square" lIns="27432" tIns="18288" rIns="0" bIns="0" anchor="t" upright="1"/>
        <a:lstStyle/>
        <a:p>
          <a:pPr algn="l" rtl="1">
            <a:defRPr sz="1000"/>
          </a:pPr>
          <a:r>
            <a:rPr lang="es-PA" sz="1000" b="0" i="0" strike="noStrike">
              <a:solidFill>
                <a:srgbClr val="000000"/>
              </a:solidFill>
              <a:latin typeface="Courier"/>
            </a:rPr>
            <a:t>|</a:t>
          </a:r>
        </a:p>
      </xdr:txBody>
    </xdr:sp>
    <xdr:clientData/>
  </xdr:twoCellAnchor>
  <xdr:twoCellAnchor>
    <xdr:from>
      <xdr:col>12</xdr:col>
      <xdr:colOff>709612</xdr:colOff>
      <xdr:row>2</xdr:row>
      <xdr:rowOff>438150</xdr:rowOff>
    </xdr:from>
    <xdr:to>
      <xdr:col>25</xdr:col>
      <xdr:colOff>581025</xdr:colOff>
      <xdr:row>4</xdr:row>
      <xdr:rowOff>114300</xdr:rowOff>
    </xdr:to>
    <xdr:sp macro="" textlink="">
      <xdr:nvSpPr>
        <xdr:cNvPr id="8" name="Rectangle 6">
          <a:extLst>
            <a:ext uri="{FF2B5EF4-FFF2-40B4-BE49-F238E27FC236}">
              <a16:creationId xmlns:a16="http://schemas.microsoft.com/office/drawing/2014/main" xmlns="" id="{00000000-0008-0000-0900-000008000000}"/>
            </a:ext>
          </a:extLst>
        </xdr:cNvPr>
        <xdr:cNvSpPr>
          <a:spLocks noChangeArrowheads="1"/>
        </xdr:cNvSpPr>
      </xdr:nvSpPr>
      <xdr:spPr bwMode="auto">
        <a:xfrm>
          <a:off x="34847212" y="2428875"/>
          <a:ext cx="9405938" cy="113347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  <xdr:txBody>
        <a:bodyPr/>
        <a:lstStyle/>
        <a:p>
          <a:endParaRPr lang="es-E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2714625</xdr:colOff>
      <xdr:row>22</xdr:row>
      <xdr:rowOff>161924</xdr:rowOff>
    </xdr:from>
    <xdr:to>
      <xdr:col>2</xdr:col>
      <xdr:colOff>2433638</xdr:colOff>
      <xdr:row>24</xdr:row>
      <xdr:rowOff>23812</xdr:rowOff>
    </xdr:to>
    <xdr:sp macro="" textlink="">
      <xdr:nvSpPr>
        <xdr:cNvPr id="3" name="Rectangle 3">
          <a:extLst>
            <a:ext uri="{FF2B5EF4-FFF2-40B4-BE49-F238E27FC236}">
              <a16:creationId xmlns:a16="http://schemas.microsoft.com/office/drawing/2014/main" xmlns="" id="{00000000-0008-0000-0A00-000003000000}"/>
            </a:ext>
          </a:extLst>
        </xdr:cNvPr>
        <xdr:cNvSpPr>
          <a:spLocks noChangeArrowheads="1"/>
        </xdr:cNvSpPr>
      </xdr:nvSpPr>
      <xdr:spPr bwMode="auto">
        <a:xfrm>
          <a:off x="3686175" y="12792074"/>
          <a:ext cx="8605838" cy="862013"/>
        </a:xfrm>
        <a:prstGeom prst="rect">
          <a:avLst/>
        </a:prstGeom>
        <a:noFill/>
        <a:ln w="38100" cmpd="dbl">
          <a:solidFill>
            <a:srgbClr val="333333"/>
          </a:solidFill>
          <a:miter lim="800000"/>
          <a:headEnd/>
          <a:tailEnd/>
        </a:ln>
        <a:effectLst>
          <a:outerShdw dist="35921" dir="2700000" algn="ctr" rotWithShape="0">
            <a:srgbClr val="4D4D4D"/>
          </a:outerShdw>
        </a:effectLst>
      </xdr:spPr>
      <xdr:txBody>
        <a:bodyPr/>
        <a:lstStyle/>
        <a:p>
          <a:endParaRPr lang="es-ES"/>
        </a:p>
      </xdr:txBody>
    </xdr:sp>
    <xdr:clientData/>
  </xdr:twoCellAnchor>
  <xdr:twoCellAnchor>
    <xdr:from>
      <xdr:col>2</xdr:col>
      <xdr:colOff>0</xdr:colOff>
      <xdr:row>23</xdr:row>
      <xdr:rowOff>333375</xdr:rowOff>
    </xdr:from>
    <xdr:to>
      <xdr:col>2</xdr:col>
      <xdr:colOff>1047750</xdr:colOff>
      <xdr:row>23</xdr:row>
      <xdr:rowOff>628650</xdr:rowOff>
    </xdr:to>
    <xdr:sp macro="" textlink="">
      <xdr:nvSpPr>
        <xdr:cNvPr id="4" name="AutoShape 4">
          <a:extLst>
            <a:ext uri="{FF2B5EF4-FFF2-40B4-BE49-F238E27FC236}">
              <a16:creationId xmlns:a16="http://schemas.microsoft.com/office/drawing/2014/main" xmlns="" id="{00000000-0008-0000-0A00-000004000000}"/>
            </a:ext>
          </a:extLst>
        </xdr:cNvPr>
        <xdr:cNvSpPr>
          <a:spLocks noChangeArrowheads="1"/>
        </xdr:cNvSpPr>
      </xdr:nvSpPr>
      <xdr:spPr bwMode="auto">
        <a:xfrm>
          <a:off x="9182100" y="13125450"/>
          <a:ext cx="1724025" cy="295275"/>
        </a:xfrm>
        <a:prstGeom prst="rightArrow">
          <a:avLst>
            <a:gd name="adj1" fmla="val 0"/>
            <a:gd name="adj2" fmla="val 194624"/>
          </a:avLst>
        </a:prstGeom>
        <a:gradFill rotWithShape="0">
          <a:gsLst>
            <a:gs pos="0">
              <a:srgbClr val="FFFFFF"/>
            </a:gs>
            <a:gs pos="100000">
              <a:srgbClr val="000000"/>
            </a:gs>
          </a:gsLst>
          <a:path path="rect">
            <a:fillToRect l="50000" t="50000" r="50000" b="50000"/>
          </a:path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56796" dir="12393903" algn="ctr" rotWithShape="0">
            <a:srgbClr val="777777"/>
          </a:outerShdw>
        </a:effectLst>
      </xdr:spPr>
      <xdr:txBody>
        <a:bodyPr/>
        <a:lstStyle/>
        <a:p>
          <a:endParaRPr lang="es-ES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Viajes">
      <a:fillStyleLst>
        <a:solidFill>
          <a:schemeClr val="phClr"/>
        </a:solidFill>
        <a:gradFill rotWithShape="1">
          <a:gsLst>
            <a:gs pos="0">
              <a:schemeClr val="phClr">
                <a:tint val="30000"/>
                <a:satMod val="250000"/>
              </a:schemeClr>
            </a:gs>
            <a:gs pos="72000">
              <a:schemeClr val="phClr">
                <a:tint val="75000"/>
                <a:satMod val="210000"/>
              </a:schemeClr>
            </a:gs>
            <a:gs pos="100000">
              <a:schemeClr val="phClr">
                <a:tint val="85000"/>
                <a:satMod val="210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5000"/>
                <a:shade val="85000"/>
                <a:satMod val="230000"/>
              </a:schemeClr>
            </a:gs>
            <a:gs pos="25000">
              <a:schemeClr val="phClr">
                <a:tint val="90000"/>
                <a:shade val="70000"/>
                <a:satMod val="220000"/>
              </a:schemeClr>
            </a:gs>
            <a:gs pos="50000">
              <a:schemeClr val="phClr">
                <a:tint val="90000"/>
                <a:shade val="58000"/>
                <a:satMod val="225000"/>
              </a:schemeClr>
            </a:gs>
            <a:gs pos="65000">
              <a:schemeClr val="phClr">
                <a:tint val="90000"/>
                <a:shade val="58000"/>
                <a:satMod val="225000"/>
              </a:schemeClr>
            </a:gs>
            <a:gs pos="80000">
              <a:schemeClr val="phClr">
                <a:tint val="90000"/>
                <a:shade val="69000"/>
                <a:satMod val="220000"/>
              </a:schemeClr>
            </a:gs>
            <a:gs pos="100000">
              <a:schemeClr val="phClr">
                <a:tint val="77000"/>
                <a:shade val="80000"/>
                <a:satMod val="230000"/>
              </a:schemeClr>
            </a:gs>
          </a:gsLst>
          <a:lin ang="54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</a:effectStyle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0"/>
            </a:lightRig>
          </a:scene3d>
          <a:sp3d prstMaterial="metal">
            <a:bevelT w="10000" h="10000"/>
          </a:sp3d>
        </a:effectStyle>
        <a:effectStyle>
          <a:effectLst>
            <a:outerShdw blurRad="76200" dist="50800" dir="5400000" rotWithShape="0">
              <a:srgbClr val="4E3B30">
                <a:alpha val="60000"/>
              </a:srgbClr>
            </a:outerShdw>
          </a:effectLst>
          <a:scene3d>
            <a:camera prst="obliqueTopLeft" fov="600000">
              <a:rot lat="0" lon="0" rev="0"/>
            </a:camera>
            <a:lightRig rig="balanced" dir="t">
              <a:rot lat="0" lon="0" rev="19200000"/>
            </a:lightRig>
          </a:scene3d>
          <a:sp3d contourW="12700" prstMaterial="matte">
            <a:bevelT w="60000" h="50800"/>
            <a:contourClr>
              <a:schemeClr val="phClr">
                <a:shade val="60000"/>
                <a:satMod val="11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mailto:morenjavier@hotmail.com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B8" transitionEvaluation="1" codeName="Hoja1">
    <tabColor rgb="FFFF6600"/>
    <pageSetUpPr fitToPage="1"/>
  </sheetPr>
  <dimension ref="A1:X45"/>
  <sheetViews>
    <sheetView showGridLines="0" view="pageBreakPreview" topLeftCell="B1" zoomScale="70" zoomScaleNormal="39" zoomScaleSheetLayoutView="70" zoomScalePageLayoutView="28" workbookViewId="0">
      <pane ySplit="7" topLeftCell="A8" activePane="bottomLeft" state="frozen"/>
      <selection activeCell="B1" sqref="B1"/>
      <selection pane="bottomLeft" activeCell="N10" sqref="N10"/>
    </sheetView>
  </sheetViews>
  <sheetFormatPr baseColWidth="10" defaultColWidth="15" defaultRowHeight="31.5" customHeight="1" x14ac:dyDescent="0.25"/>
  <cols>
    <col min="1" max="1" width="12.140625" style="85" customWidth="1"/>
    <col min="2" max="2" width="7" style="85" customWidth="1"/>
    <col min="3" max="3" width="24.140625" style="82" customWidth="1"/>
    <col min="4" max="4" width="38.5703125" style="85" customWidth="1"/>
    <col min="5" max="5" width="17.42578125" style="85" bestFit="1" customWidth="1"/>
    <col min="6" max="6" width="19.7109375" style="85" customWidth="1"/>
    <col min="7" max="13" width="21.5703125" style="85" customWidth="1"/>
    <col min="14" max="14" width="21.140625" style="84" bestFit="1" customWidth="1"/>
    <col min="15" max="16" width="15" style="84"/>
    <col min="17" max="16384" width="15" style="85"/>
  </cols>
  <sheetData>
    <row r="1" spans="1:24" ht="18.75" customHeight="1" x14ac:dyDescent="0.25">
      <c r="A1" s="217"/>
      <c r="B1" s="325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7" t="s">
        <v>150</v>
      </c>
    </row>
    <row r="2" spans="1:24" s="82" customFormat="1" ht="17.25" customHeight="1" x14ac:dyDescent="0.25">
      <c r="B2" s="743" t="s">
        <v>149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5"/>
      <c r="N2" s="80"/>
      <c r="O2" s="80"/>
      <c r="P2" s="81"/>
    </row>
    <row r="3" spans="1:24" s="123" customFormat="1" ht="24.6" customHeight="1" x14ac:dyDescent="0.25">
      <c r="B3" s="751" t="s">
        <v>214</v>
      </c>
      <c r="C3" s="752"/>
      <c r="D3" s="752"/>
      <c r="E3" s="752"/>
      <c r="F3" s="752"/>
      <c r="G3" s="752"/>
      <c r="H3" s="752"/>
      <c r="I3" s="752"/>
      <c r="J3" s="752"/>
      <c r="K3" s="752"/>
      <c r="L3" s="752"/>
      <c r="M3" s="753"/>
      <c r="N3" s="748"/>
      <c r="O3" s="748"/>
      <c r="P3" s="748"/>
      <c r="Q3" s="748"/>
      <c r="R3" s="124"/>
      <c r="S3" s="124"/>
      <c r="T3" s="124"/>
      <c r="U3" s="124"/>
      <c r="V3" s="124"/>
      <c r="W3" s="124"/>
      <c r="X3" s="124"/>
    </row>
    <row r="4" spans="1:24" s="83" customFormat="1" ht="20.25" customHeight="1" x14ac:dyDescent="0.25">
      <c r="B4" s="759" t="str">
        <f>'VENC. '!B4:H4</f>
        <v>AL 31 DE JULIO  DE 2024</v>
      </c>
      <c r="C4" s="760"/>
      <c r="D4" s="760"/>
      <c r="E4" s="760"/>
      <c r="F4" s="760"/>
      <c r="G4" s="760"/>
      <c r="H4" s="760"/>
      <c r="I4" s="760"/>
      <c r="J4" s="760"/>
      <c r="K4" s="760"/>
      <c r="L4" s="760"/>
      <c r="M4" s="761"/>
      <c r="N4" s="84"/>
      <c r="O4" s="84"/>
      <c r="P4" s="84"/>
      <c r="Q4" s="85"/>
      <c r="R4" s="82"/>
      <c r="S4" s="82"/>
      <c r="T4" s="82"/>
      <c r="U4" s="82"/>
      <c r="V4" s="82"/>
      <c r="W4" s="82"/>
      <c r="X4" s="82"/>
    </row>
    <row r="5" spans="1:24" s="83" customFormat="1" ht="15.75" customHeight="1" x14ac:dyDescent="0.25">
      <c r="B5" s="754" t="s">
        <v>152</v>
      </c>
      <c r="C5" s="755"/>
      <c r="D5" s="755"/>
      <c r="E5" s="755"/>
      <c r="F5" s="755"/>
      <c r="G5" s="755"/>
      <c r="H5" s="755"/>
      <c r="I5" s="755"/>
      <c r="J5" s="755"/>
      <c r="K5" s="755"/>
      <c r="L5" s="755"/>
      <c r="M5" s="756"/>
      <c r="N5" s="84"/>
      <c r="O5" s="84"/>
      <c r="P5" s="84"/>
      <c r="Q5" s="85"/>
      <c r="R5" s="82"/>
      <c r="S5" s="82"/>
      <c r="T5" s="82"/>
      <c r="U5" s="82"/>
      <c r="V5" s="82"/>
      <c r="W5" s="82"/>
      <c r="X5" s="82"/>
    </row>
    <row r="6" spans="1:24" s="83" customFormat="1" ht="15.75" customHeight="1" thickBot="1" x14ac:dyDescent="0.3">
      <c r="B6" s="398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328"/>
      <c r="N6" s="84"/>
      <c r="O6" s="84"/>
      <c r="P6" s="84"/>
      <c r="Q6" s="85"/>
      <c r="R6" s="82"/>
      <c r="S6" s="82"/>
      <c r="T6" s="82"/>
      <c r="U6" s="82"/>
      <c r="V6" s="82"/>
      <c r="W6" s="82"/>
      <c r="X6" s="82"/>
    </row>
    <row r="7" spans="1:24" ht="63" x14ac:dyDescent="0.25">
      <c r="B7" s="757" t="s">
        <v>32</v>
      </c>
      <c r="C7" s="758"/>
      <c r="D7" s="758"/>
      <c r="E7" s="281" t="s">
        <v>59</v>
      </c>
      <c r="F7" s="399" t="s">
        <v>4</v>
      </c>
      <c r="G7" s="356" t="s">
        <v>22</v>
      </c>
      <c r="H7" s="399" t="s">
        <v>33</v>
      </c>
      <c r="I7" s="363" t="s">
        <v>57</v>
      </c>
      <c r="J7" s="399" t="s">
        <v>189</v>
      </c>
      <c r="K7" s="395" t="s">
        <v>26</v>
      </c>
      <c r="L7" s="399" t="s">
        <v>42</v>
      </c>
      <c r="M7" s="282" t="s">
        <v>50</v>
      </c>
      <c r="N7" s="122"/>
    </row>
    <row r="8" spans="1:24" ht="15.75" x14ac:dyDescent="0.25">
      <c r="B8" s="283"/>
      <c r="C8" s="65"/>
      <c r="D8" s="96"/>
      <c r="E8" s="280"/>
      <c r="F8" s="66"/>
      <c r="G8" s="357"/>
      <c r="H8" s="67"/>
      <c r="I8" s="68"/>
      <c r="J8" s="67"/>
      <c r="K8" s="67"/>
      <c r="L8" s="68"/>
      <c r="M8" s="284"/>
    </row>
    <row r="9" spans="1:24" ht="24.95" customHeight="1" x14ac:dyDescent="0.25">
      <c r="B9" s="283"/>
      <c r="C9" s="65"/>
      <c r="D9" s="96"/>
      <c r="E9" s="261">
        <f>E11+E35</f>
        <v>99.82</v>
      </c>
      <c r="F9" s="212">
        <f>SUM(G9:M9)</f>
        <v>7181159905.8699999</v>
      </c>
      <c r="G9" s="358">
        <f>SUM(G11+G35)</f>
        <v>3823662276.1700001</v>
      </c>
      <c r="H9" s="213">
        <f t="shared" ref="H9:J9" si="0">H11</f>
        <v>2840862498.6599998</v>
      </c>
      <c r="I9" s="214">
        <f t="shared" si="0"/>
        <v>95000000</v>
      </c>
      <c r="J9" s="213">
        <f t="shared" si="0"/>
        <v>46635131.039999999</v>
      </c>
      <c r="K9" s="213">
        <f>K11</f>
        <v>150000000</v>
      </c>
      <c r="L9" s="213">
        <f>L11</f>
        <v>50000000</v>
      </c>
      <c r="M9" s="285">
        <f>M11</f>
        <v>175000000</v>
      </c>
      <c r="N9" s="81">
        <f>F9-'VENC. '!G6</f>
        <v>18420385.460000001</v>
      </c>
      <c r="O9" s="746"/>
      <c r="P9" s="747"/>
      <c r="Q9" s="747"/>
    </row>
    <row r="10" spans="1:24" s="217" customFormat="1" ht="20.45" customHeight="1" x14ac:dyDescent="0.25">
      <c r="B10" s="749" t="s">
        <v>34</v>
      </c>
      <c r="C10" s="750"/>
      <c r="D10" s="750"/>
      <c r="E10" s="317"/>
      <c r="F10" s="334">
        <f>SUM(G10:M10)</f>
        <v>100.01</v>
      </c>
      <c r="G10" s="359">
        <f>G9/F9%</f>
        <v>53.25</v>
      </c>
      <c r="H10" s="335">
        <f>H9/F9%</f>
        <v>39.56</v>
      </c>
      <c r="I10" s="334">
        <f>I9/F9%</f>
        <v>1.32</v>
      </c>
      <c r="J10" s="335">
        <f>J9/F9%</f>
        <v>0.65</v>
      </c>
      <c r="K10" s="335">
        <f>K9/F9%</f>
        <v>2.09</v>
      </c>
      <c r="L10" s="335">
        <f>L9/F9%</f>
        <v>0.7</v>
      </c>
      <c r="M10" s="336">
        <f>M9/F9%</f>
        <v>2.44</v>
      </c>
      <c r="N10" s="215">
        <f>F9-'VENC. '!G6</f>
        <v>18420385.460000001</v>
      </c>
      <c r="O10" s="747"/>
      <c r="P10" s="747"/>
      <c r="Q10" s="747"/>
      <c r="R10" s="216"/>
      <c r="S10" s="216"/>
      <c r="T10" s="216"/>
      <c r="U10" s="216"/>
      <c r="V10" s="216"/>
      <c r="W10" s="216"/>
      <c r="X10" s="216"/>
    </row>
    <row r="11" spans="1:24" s="216" customFormat="1" ht="26.45" customHeight="1" x14ac:dyDescent="0.25">
      <c r="B11" s="721" t="s">
        <v>210</v>
      </c>
      <c r="C11" s="722"/>
      <c r="D11" s="722"/>
      <c r="E11" s="261">
        <f>F11/F9*100</f>
        <v>99.82</v>
      </c>
      <c r="F11" s="212">
        <f>+F12+F25+F26+F33</f>
        <v>7167969481.7600002</v>
      </c>
      <c r="G11" s="360">
        <f>G12+G25+G26+G33</f>
        <v>3823662276.1700001</v>
      </c>
      <c r="H11" s="262">
        <f>H12+H25+H26+H33</f>
        <v>2840862498.6599998</v>
      </c>
      <c r="I11" s="212">
        <f>I22+I26+I33</f>
        <v>95000000</v>
      </c>
      <c r="J11" s="262">
        <f>J22+J26+J33+J21+J25</f>
        <v>46635131.039999999</v>
      </c>
      <c r="K11" s="262">
        <f>K12+K25+K26+K33</f>
        <v>150000000</v>
      </c>
      <c r="L11" s="262">
        <f>L12+L25+L26+L33</f>
        <v>50000000</v>
      </c>
      <c r="M11" s="286">
        <f>SUM(M12,M25,M26,M33)</f>
        <v>175000000</v>
      </c>
      <c r="N11" s="218"/>
      <c r="O11" s="218"/>
      <c r="P11" s="218"/>
      <c r="Q11" s="218"/>
      <c r="R11" s="218"/>
      <c r="S11" s="218"/>
    </row>
    <row r="12" spans="1:24" ht="30.95" customHeight="1" x14ac:dyDescent="0.25">
      <c r="B12" s="719" t="s">
        <v>211</v>
      </c>
      <c r="C12" s="720"/>
      <c r="D12" s="720"/>
      <c r="E12" s="261">
        <f>+F12/$F$9*100</f>
        <v>12.71</v>
      </c>
      <c r="F12" s="262">
        <f>SUM(F13)+F14+F21+F22+F15</f>
        <v>912854125.80999994</v>
      </c>
      <c r="G12" s="361">
        <f>SUM(G13)+G14+G15+G21+G22+G18+G19+G20</f>
        <v>718361878.39999998</v>
      </c>
      <c r="H12" s="262">
        <f>SUM(H13)+H14+H15+H21+H22</f>
        <v>121330007.06999999</v>
      </c>
      <c r="I12" s="212">
        <f>SUM(I22)</f>
        <v>20000000</v>
      </c>
      <c r="J12" s="262">
        <f>SUM(J22)</f>
        <v>13000000</v>
      </c>
      <c r="K12" s="262"/>
      <c r="L12" s="262"/>
      <c r="M12" s="286">
        <f>M13+M14+M15+M21+M22</f>
        <v>21656647.449999999</v>
      </c>
      <c r="O12" s="219"/>
      <c r="Q12" s="218"/>
    </row>
    <row r="13" spans="1:24" s="216" customFormat="1" ht="24" customHeight="1" x14ac:dyDescent="0.25">
      <c r="B13" s="287" t="s">
        <v>175</v>
      </c>
      <c r="C13" s="220"/>
      <c r="D13" s="396"/>
      <c r="E13" s="330">
        <f>F13/F9*100</f>
        <v>8.4600000000000009</v>
      </c>
      <c r="F13" s="125">
        <f t="shared" ref="F13:F20" si="1">SUM(G13:M13)</f>
        <v>607316765.90999997</v>
      </c>
      <c r="G13" s="390">
        <f>ADMINISTRACIÓN!I14</f>
        <v>553761464.66999996</v>
      </c>
      <c r="H13" s="391">
        <f>SUM(ADMINISTRACIÓN!I71)</f>
        <v>53555301.240000002</v>
      </c>
      <c r="I13" s="226"/>
      <c r="J13" s="367"/>
      <c r="K13" s="126"/>
      <c r="L13" s="126"/>
      <c r="M13" s="394"/>
      <c r="N13" s="215"/>
      <c r="O13" s="224"/>
      <c r="P13" s="215"/>
      <c r="Q13" s="225"/>
    </row>
    <row r="14" spans="1:24" s="216" customFormat="1" ht="24.6" customHeight="1" x14ac:dyDescent="0.25">
      <c r="B14" s="729" t="s">
        <v>490</v>
      </c>
      <c r="C14" s="730"/>
      <c r="D14" s="731"/>
      <c r="E14" s="330">
        <f>F14/F9*100</f>
        <v>0.33</v>
      </c>
      <c r="F14" s="125">
        <f t="shared" si="1"/>
        <v>24018836.800000001</v>
      </c>
      <c r="G14" s="393">
        <f>SUM(ADMINISTRACIÓN!I29)</f>
        <v>24018836.800000001</v>
      </c>
      <c r="H14" s="391"/>
      <c r="I14" s="226"/>
      <c r="J14" s="367"/>
      <c r="K14" s="222"/>
      <c r="L14" s="223"/>
      <c r="M14" s="288"/>
      <c r="N14" s="215"/>
      <c r="O14" s="224"/>
      <c r="P14" s="215"/>
      <c r="Q14" s="225"/>
    </row>
    <row r="15" spans="1:24" s="233" customFormat="1" ht="26.45" customHeight="1" x14ac:dyDescent="0.25">
      <c r="B15" s="729" t="s">
        <v>176</v>
      </c>
      <c r="C15" s="730"/>
      <c r="D15" s="731"/>
      <c r="E15" s="330">
        <f>F15/F12*100</f>
        <v>0.56999999999999995</v>
      </c>
      <c r="F15" s="221">
        <f t="shared" si="1"/>
        <v>5229961.3499999996</v>
      </c>
      <c r="G15" s="391">
        <f>SUM(ADMINISTRACIÓN!I42)</f>
        <v>5229961.3499999996</v>
      </c>
      <c r="H15" s="391"/>
      <c r="I15" s="364"/>
      <c r="J15" s="227"/>
      <c r="K15" s="228"/>
      <c r="L15" s="229"/>
      <c r="M15" s="289"/>
      <c r="N15" s="230"/>
      <c r="O15" s="231"/>
      <c r="P15" s="230"/>
      <c r="Q15" s="232"/>
    </row>
    <row r="16" spans="1:24" s="239" customFormat="1" ht="20.25" customHeight="1" x14ac:dyDescent="0.25">
      <c r="B16" s="723" t="s">
        <v>177</v>
      </c>
      <c r="C16" s="724"/>
      <c r="D16" s="400"/>
      <c r="E16" s="330">
        <f>F16/F9*100</f>
        <v>7.0000000000000007E-2</v>
      </c>
      <c r="F16" s="234">
        <f t="shared" si="1"/>
        <v>4993774.92</v>
      </c>
      <c r="G16" s="390">
        <f>SUM(ADMINISTRACIÓN!I47)</f>
        <v>4993774.92</v>
      </c>
      <c r="H16" s="391"/>
      <c r="I16" s="364"/>
      <c r="J16" s="227"/>
      <c r="K16" s="228"/>
      <c r="L16" s="229"/>
      <c r="M16" s="289"/>
      <c r="N16" s="236"/>
      <c r="O16" s="237"/>
      <c r="P16" s="236"/>
      <c r="Q16" s="238"/>
    </row>
    <row r="17" spans="2:17" s="239" customFormat="1" ht="15.75" customHeight="1" x14ac:dyDescent="0.25">
      <c r="B17" s="723" t="s">
        <v>580</v>
      </c>
      <c r="C17" s="724"/>
      <c r="D17" s="725"/>
      <c r="E17" s="330"/>
      <c r="F17" s="234">
        <f t="shared" si="1"/>
        <v>41212.17</v>
      </c>
      <c r="G17" s="390">
        <f>SUM(ADMINISTRACIÓN!I45)</f>
        <v>41212.17</v>
      </c>
      <c r="H17" s="391"/>
      <c r="I17" s="364"/>
      <c r="J17" s="227"/>
      <c r="K17" s="228"/>
      <c r="L17" s="229"/>
      <c r="M17" s="289"/>
      <c r="N17" s="236"/>
      <c r="O17" s="237"/>
      <c r="P17" s="236"/>
      <c r="Q17" s="238"/>
    </row>
    <row r="18" spans="2:17" s="216" customFormat="1" ht="15.75" x14ac:dyDescent="0.25">
      <c r="B18" s="723" t="s">
        <v>178</v>
      </c>
      <c r="C18" s="724"/>
      <c r="D18" s="725"/>
      <c r="E18" s="330">
        <f>F18/F9*100</f>
        <v>0.15</v>
      </c>
      <c r="F18" s="235">
        <f t="shared" si="1"/>
        <v>10726769.130000001</v>
      </c>
      <c r="G18" s="392">
        <f>SUM(ADMINISTRACIÓN!I53)</f>
        <v>10726769.130000001</v>
      </c>
      <c r="H18" s="391"/>
      <c r="I18" s="226"/>
      <c r="J18" s="367"/>
      <c r="K18" s="222"/>
      <c r="L18" s="223"/>
      <c r="M18" s="288"/>
      <c r="N18" s="215"/>
      <c r="O18" s="224"/>
      <c r="P18" s="215"/>
      <c r="Q18" s="225"/>
    </row>
    <row r="19" spans="2:17" s="216" customFormat="1" ht="38.25" customHeight="1" x14ac:dyDescent="0.2">
      <c r="B19" s="732" t="s">
        <v>491</v>
      </c>
      <c r="C19" s="733"/>
      <c r="D19" s="734"/>
      <c r="E19" s="330">
        <f>F19/F9*100</f>
        <v>0.02</v>
      </c>
      <c r="F19" s="331">
        <f t="shared" si="1"/>
        <v>1159995.44</v>
      </c>
      <c r="G19" s="393">
        <f>SUM(ADMINISTRACIÓN!I60)</f>
        <v>1159995.44</v>
      </c>
      <c r="H19" s="434"/>
      <c r="I19" s="226"/>
      <c r="J19" s="367"/>
      <c r="K19" s="222"/>
      <c r="L19" s="223"/>
      <c r="M19" s="288"/>
      <c r="N19" s="215"/>
      <c r="O19" s="224"/>
      <c r="P19" s="215"/>
      <c r="Q19" s="225"/>
    </row>
    <row r="20" spans="2:17" s="216" customFormat="1" ht="20.25" customHeight="1" x14ac:dyDescent="0.25">
      <c r="B20" s="723" t="s">
        <v>179</v>
      </c>
      <c r="C20" s="724"/>
      <c r="D20" s="725"/>
      <c r="E20" s="330">
        <f>F20/F9*100</f>
        <v>0.02</v>
      </c>
      <c r="F20" s="331">
        <f t="shared" si="1"/>
        <v>1303659.54</v>
      </c>
      <c r="G20" s="435">
        <f>SUM(ADMINISTRACIÓN!I66)</f>
        <v>1303659.54</v>
      </c>
      <c r="H20" s="391"/>
      <c r="I20" s="212"/>
      <c r="J20" s="262"/>
      <c r="K20" s="240"/>
      <c r="L20" s="241"/>
      <c r="M20" s="290"/>
      <c r="N20" s="215"/>
      <c r="O20" s="224"/>
      <c r="P20" s="215"/>
      <c r="Q20" s="225"/>
    </row>
    <row r="21" spans="2:17" s="216" customFormat="1" ht="25.5" customHeight="1" x14ac:dyDescent="0.25">
      <c r="B21" s="729" t="s">
        <v>180</v>
      </c>
      <c r="C21" s="730"/>
      <c r="D21" s="731"/>
      <c r="E21" s="330">
        <f>F21/F9*100</f>
        <v>1.44</v>
      </c>
      <c r="F21" s="221">
        <f t="shared" ref="F21" si="2">SUM(G21:M21)</f>
        <v>103209112.23999999</v>
      </c>
      <c r="G21" s="355">
        <f>'SERV CONTABILIDAD'!$I$11</f>
        <v>71513095.239999995</v>
      </c>
      <c r="H21" s="368"/>
      <c r="I21" s="212"/>
      <c r="J21" s="368">
        <f>SUM('SERV CONTABILIDAD'!I32)</f>
        <v>31696017</v>
      </c>
      <c r="K21" s="240"/>
      <c r="L21" s="241"/>
      <c r="M21" s="288"/>
      <c r="N21" s="215"/>
      <c r="O21" s="224"/>
      <c r="P21" s="215"/>
      <c r="Q21" s="225"/>
    </row>
    <row r="22" spans="2:17" s="243" customFormat="1" ht="15.75" x14ac:dyDescent="0.2">
      <c r="B22" s="735" t="s">
        <v>375</v>
      </c>
      <c r="C22" s="736"/>
      <c r="D22" s="737"/>
      <c r="E22" s="330">
        <f>+E23+E24</f>
        <v>2.41</v>
      </c>
      <c r="F22" s="221">
        <f>SUM(G22:M22)</f>
        <v>173079449.50999999</v>
      </c>
      <c r="G22" s="391">
        <f>+G23+G24</f>
        <v>50648096.229999997</v>
      </c>
      <c r="H22" s="391">
        <f>+H23+H24</f>
        <v>67774705.829999998</v>
      </c>
      <c r="I22" s="391">
        <f>+I23</f>
        <v>20000000</v>
      </c>
      <c r="J22" s="391">
        <f>+J23</f>
        <v>13000000</v>
      </c>
      <c r="K22" s="163"/>
      <c r="L22" s="71"/>
      <c r="M22" s="391">
        <f>M23+M24</f>
        <v>21656647.449999999</v>
      </c>
      <c r="N22" s="218"/>
      <c r="O22" s="242"/>
      <c r="P22" s="218"/>
    </row>
    <row r="23" spans="2:17" s="233" customFormat="1" ht="21.75" customHeight="1" x14ac:dyDescent="0.25">
      <c r="B23" s="723" t="s">
        <v>181</v>
      </c>
      <c r="C23" s="724"/>
      <c r="D23" s="724"/>
      <c r="E23" s="330">
        <f>F23/F9*100</f>
        <v>2.2599999999999998</v>
      </c>
      <c r="F23" s="221">
        <f>SUM(G23:M23)</f>
        <v>162283035.47999999</v>
      </c>
      <c r="G23" s="390">
        <f>SEGUROS!$I$11</f>
        <v>46772375.689999998</v>
      </c>
      <c r="H23" s="391">
        <f>SEGUROS!$I$24</f>
        <v>61246927.659999996</v>
      </c>
      <c r="I23" s="56">
        <f>SEGUROS!I39</f>
        <v>20000000</v>
      </c>
      <c r="J23" s="423">
        <v>13000000</v>
      </c>
      <c r="K23" s="424"/>
      <c r="L23" s="425"/>
      <c r="M23" s="423">
        <f>SEGUROS!I41</f>
        <v>21263732.129999999</v>
      </c>
      <c r="N23" s="230"/>
      <c r="O23" s="231"/>
      <c r="P23" s="230"/>
    </row>
    <row r="24" spans="2:17" s="233" customFormat="1" ht="21.75" customHeight="1" x14ac:dyDescent="0.25">
      <c r="B24" s="723" t="s">
        <v>182</v>
      </c>
      <c r="C24" s="724"/>
      <c r="D24" s="725"/>
      <c r="E24" s="330">
        <f>F24/F9*100</f>
        <v>0.15</v>
      </c>
      <c r="F24" s="221">
        <f>SUM(G24:M24)</f>
        <v>10796414.029999999</v>
      </c>
      <c r="G24" s="390">
        <f>SEGUROS!$I$46</f>
        <v>3875720.54</v>
      </c>
      <c r="H24" s="391">
        <f>SEGUROS!$I$57</f>
        <v>6527778.1699999999</v>
      </c>
      <c r="I24" s="426"/>
      <c r="J24" s="427"/>
      <c r="K24" s="424"/>
      <c r="L24" s="425"/>
      <c r="M24" s="391">
        <f>SEGUROS!I68</f>
        <v>392915.32</v>
      </c>
      <c r="N24" s="230"/>
      <c r="O24" s="231"/>
      <c r="P24" s="230"/>
    </row>
    <row r="25" spans="2:17" ht="59.25" customHeight="1" x14ac:dyDescent="0.25">
      <c r="B25" s="741" t="s">
        <v>183</v>
      </c>
      <c r="C25" s="742"/>
      <c r="D25" s="742"/>
      <c r="E25" s="244">
        <f>F25/F9*100</f>
        <v>15.02</v>
      </c>
      <c r="F25" s="212">
        <f>SUM(G25:M25)</f>
        <v>1078798677.9100001</v>
      </c>
      <c r="G25" s="358">
        <f>'ENF Y MATERNIDAD'!$I$10</f>
        <v>617566092.32000005</v>
      </c>
      <c r="H25" s="213">
        <f>'ENF Y MATERNIDAD'!$I$49</f>
        <v>459309046.48000002</v>
      </c>
      <c r="I25" s="212"/>
      <c r="J25" s="262">
        <f>SUM('ENF Y MATERNIDAD'!I91)</f>
        <v>1923539.11</v>
      </c>
      <c r="K25" s="213"/>
      <c r="L25" s="241"/>
      <c r="M25" s="285"/>
      <c r="O25" s="219"/>
    </row>
    <row r="26" spans="2:17" s="216" customFormat="1" ht="26.25" customHeight="1" x14ac:dyDescent="0.25">
      <c r="B26" s="741" t="s">
        <v>205</v>
      </c>
      <c r="C26" s="742"/>
      <c r="D26" s="742"/>
      <c r="E26" s="244">
        <f>+E27+E29</f>
        <v>70.94</v>
      </c>
      <c r="F26" s="212">
        <f t="shared" ref="F26:F27" si="3">SUM(G26:M26)</f>
        <v>5094514724.25</v>
      </c>
      <c r="G26" s="358">
        <f>SUM(G27+G29)</f>
        <v>2436740261.1300001</v>
      </c>
      <c r="H26" s="213">
        <f>SUM(H27+H29)+G28</f>
        <v>2229415535.6399999</v>
      </c>
      <c r="I26" s="214">
        <f>SUM(I27:I29)</f>
        <v>75000000</v>
      </c>
      <c r="J26" s="214">
        <f>SUM(J27:J29)</f>
        <v>15574.93</v>
      </c>
      <c r="K26" s="213">
        <f>SUM(K27:K29)</f>
        <v>150000000</v>
      </c>
      <c r="L26" s="213">
        <f>SUM(L27:L29)</f>
        <v>50000000</v>
      </c>
      <c r="M26" s="285">
        <f>SUM(M27:M29)</f>
        <v>153343352.55000001</v>
      </c>
      <c r="N26" s="215"/>
      <c r="O26" s="219"/>
      <c r="P26" s="215"/>
    </row>
    <row r="27" spans="2:17" s="248" customFormat="1" ht="27" customHeight="1" x14ac:dyDescent="0.25">
      <c r="B27" s="726" t="s">
        <v>206</v>
      </c>
      <c r="C27" s="727"/>
      <c r="D27" s="728"/>
      <c r="E27" s="244">
        <f>F27/F9*100</f>
        <v>7.14</v>
      </c>
      <c r="F27" s="212">
        <f t="shared" si="3"/>
        <v>512927528.72000003</v>
      </c>
      <c r="G27" s="358">
        <f>'IVM EXCLUSIVO'!$I$9</f>
        <v>437755095.89999998</v>
      </c>
      <c r="H27" s="213">
        <f>'IVM EXCLUSIVO'!$I$20</f>
        <v>75172432.819999993</v>
      </c>
      <c r="I27" s="214"/>
      <c r="J27" s="213"/>
      <c r="K27" s="213"/>
      <c r="L27" s="214"/>
      <c r="M27" s="285"/>
      <c r="N27" s="245"/>
      <c r="O27" s="246"/>
      <c r="P27" s="247"/>
    </row>
    <row r="28" spans="2:17" s="252" customFormat="1" ht="30" hidden="1" customHeight="1" x14ac:dyDescent="0.25">
      <c r="B28" s="738" t="s">
        <v>171</v>
      </c>
      <c r="C28" s="739"/>
      <c r="D28" s="740"/>
      <c r="E28" s="249">
        <f>F28/F9*100</f>
        <v>0</v>
      </c>
      <c r="F28" s="221"/>
      <c r="G28" s="362"/>
      <c r="H28" s="368"/>
      <c r="I28" s="365"/>
      <c r="J28" s="250"/>
      <c r="K28" s="222"/>
      <c r="L28" s="223"/>
      <c r="M28" s="288"/>
      <c r="N28" s="251"/>
      <c r="O28" s="251"/>
      <c r="P28" s="251"/>
    </row>
    <row r="29" spans="2:17" s="248" customFormat="1" ht="30" customHeight="1" x14ac:dyDescent="0.25">
      <c r="B29" s="726" t="s">
        <v>207</v>
      </c>
      <c r="C29" s="727"/>
      <c r="D29" s="728"/>
      <c r="E29" s="244">
        <f>SUM(E30:E31)</f>
        <v>63.8</v>
      </c>
      <c r="F29" s="212">
        <f>SUM(G29:M29)</f>
        <v>4581587195.5299997</v>
      </c>
      <c r="G29" s="358">
        <f>SUM(G30+G31)</f>
        <v>1998985165.23</v>
      </c>
      <c r="H29" s="213">
        <f t="shared" ref="H29:M29" si="4">SUM(H30:H31)</f>
        <v>2154243102.8200002</v>
      </c>
      <c r="I29" s="214">
        <f t="shared" si="4"/>
        <v>75000000</v>
      </c>
      <c r="J29" s="214">
        <f t="shared" si="4"/>
        <v>15574.93</v>
      </c>
      <c r="K29" s="213">
        <f t="shared" si="4"/>
        <v>150000000</v>
      </c>
      <c r="L29" s="213">
        <f t="shared" si="4"/>
        <v>50000000</v>
      </c>
      <c r="M29" s="285">
        <f t="shared" si="4"/>
        <v>153343352.55000001</v>
      </c>
      <c r="N29" s="245"/>
      <c r="O29" s="246"/>
      <c r="P29" s="247"/>
    </row>
    <row r="30" spans="2:17" s="248" customFormat="1" ht="21.75" customHeight="1" x14ac:dyDescent="0.25">
      <c r="B30" s="729" t="s">
        <v>208</v>
      </c>
      <c r="C30" s="730"/>
      <c r="D30" s="731"/>
      <c r="E30" s="249">
        <f>F30/F9*100</f>
        <v>23.33</v>
      </c>
      <c r="F30" s="221">
        <f>SUM(G30:M30)</f>
        <v>1675258314.8</v>
      </c>
      <c r="G30" s="355">
        <f>'MIXTO AHORRO Y B. DEFINIDO'!$I$10</f>
        <v>564231757.36000001</v>
      </c>
      <c r="H30" s="222">
        <f>'MIXTO AHORRO Y B. DEFINIDO'!$I$26</f>
        <v>953526345.09000003</v>
      </c>
      <c r="I30" s="223">
        <f>'MIXTO AHORRO Y B. DEFINIDO'!I64</f>
        <v>31500000</v>
      </c>
      <c r="J30" s="222">
        <f>SUM('MIXTO AHORRO Y B. DEFINIDO'!I66)</f>
        <v>212.35</v>
      </c>
      <c r="K30" s="222">
        <f>'MIXTO AHORRO Y B. DEFINIDO'!I57</f>
        <v>63000000</v>
      </c>
      <c r="L30" s="223"/>
      <c r="M30" s="288">
        <f>'MIXTO AHORRO Y B. DEFINIDO'!I60</f>
        <v>63000000</v>
      </c>
      <c r="N30" s="247"/>
      <c r="O30" s="246"/>
      <c r="P30" s="247"/>
    </row>
    <row r="31" spans="2:17" s="248" customFormat="1" ht="21.75" customHeight="1" x14ac:dyDescent="0.25">
      <c r="B31" s="729" t="s">
        <v>209</v>
      </c>
      <c r="C31" s="730"/>
      <c r="D31" s="731"/>
      <c r="E31" s="249">
        <f>F31/F9*100</f>
        <v>40.47</v>
      </c>
      <c r="F31" s="221">
        <f>SUM(G31:M31)</f>
        <v>2906328880.73</v>
      </c>
      <c r="G31" s="355">
        <f>SUM('MIXTO AHORRO Y B. DEFINIDO'!I70)</f>
        <v>1434753407.8699999</v>
      </c>
      <c r="H31" s="222">
        <f>'MIXTO AHORRO Y B. DEFINIDO'!$I$96</f>
        <v>1200716757.73</v>
      </c>
      <c r="I31" s="223">
        <f>'MIXTO AHORRO Y B. DEFINIDO'!I144</f>
        <v>43500000</v>
      </c>
      <c r="J31" s="222">
        <f>SUM('MIXTO AHORRO Y B. DEFINIDO'!I146)</f>
        <v>15362.58</v>
      </c>
      <c r="K31" s="222">
        <f>'MIXTO AHORRO Y B. DEFINIDO'!$I$132</f>
        <v>87000000</v>
      </c>
      <c r="L31" s="223">
        <f>'MIXTO AHORRO Y B. DEFINIDO'!I136</f>
        <v>50000000</v>
      </c>
      <c r="M31" s="288">
        <f>'MIXTO AHORRO Y B. DEFINIDO'!I139</f>
        <v>90343352.549999997</v>
      </c>
      <c r="N31" s="247"/>
      <c r="O31" s="246"/>
      <c r="P31" s="247"/>
    </row>
    <row r="32" spans="2:17" s="248" customFormat="1" ht="21.75" customHeight="1" x14ac:dyDescent="0.25">
      <c r="B32" s="729" t="s">
        <v>492</v>
      </c>
      <c r="C32" s="730"/>
      <c r="D32" s="731"/>
      <c r="E32" s="249">
        <f>F32/F9*100</f>
        <v>1.55</v>
      </c>
      <c r="F32" s="221">
        <f>SUM(G32:M32)</f>
        <v>111492000</v>
      </c>
      <c r="G32" s="355">
        <f>SUM('MIXTO AHORRO Y B. DEFINIDO'!I91)</f>
        <v>111492000</v>
      </c>
      <c r="H32" s="222"/>
      <c r="I32" s="223"/>
      <c r="J32" s="222"/>
      <c r="K32" s="222"/>
      <c r="L32" s="223"/>
      <c r="M32" s="288"/>
      <c r="N32" s="247"/>
      <c r="O32" s="246"/>
      <c r="P32" s="247"/>
    </row>
    <row r="33" spans="1:16" s="255" customFormat="1" ht="17.25" thickBot="1" x14ac:dyDescent="0.3">
      <c r="B33" s="781" t="s">
        <v>184</v>
      </c>
      <c r="C33" s="782"/>
      <c r="D33" s="782"/>
      <c r="E33" s="291">
        <f>+F33/F9%</f>
        <v>1.1399999999999999</v>
      </c>
      <c r="F33" s="292">
        <f>SUM(G33:M33)</f>
        <v>81801953.790000007</v>
      </c>
      <c r="G33" s="366">
        <f>'R. PROFESIONALES'!I8</f>
        <v>50994044.32</v>
      </c>
      <c r="H33" s="293">
        <f>'R. PROFESIONALES'!I19</f>
        <v>30807909.469999999</v>
      </c>
      <c r="I33" s="294"/>
      <c r="J33" s="293"/>
      <c r="K33" s="293"/>
      <c r="L33" s="294"/>
      <c r="M33" s="295"/>
      <c r="N33" s="253"/>
      <c r="O33" s="254"/>
      <c r="P33" s="253"/>
    </row>
    <row r="34" spans="1:16" s="92" customFormat="1" ht="15.75" hidden="1" x14ac:dyDescent="0.25">
      <c r="B34" s="778" t="s">
        <v>184</v>
      </c>
      <c r="C34" s="779"/>
      <c r="D34" s="780"/>
      <c r="E34" s="97"/>
      <c r="F34" s="71"/>
      <c r="G34" s="163"/>
      <c r="H34" s="69"/>
      <c r="I34" s="69"/>
      <c r="J34" s="69"/>
      <c r="K34" s="69"/>
      <c r="L34" s="70"/>
      <c r="M34" s="402"/>
      <c r="N34" s="90"/>
      <c r="O34" s="91"/>
      <c r="P34" s="90"/>
    </row>
    <row r="35" spans="1:16" s="88" customFormat="1" ht="15.75" hidden="1" x14ac:dyDescent="0.25">
      <c r="B35" s="774" t="s">
        <v>396</v>
      </c>
      <c r="C35" s="775"/>
      <c r="D35" s="776"/>
      <c r="E35" s="97">
        <f>SUM(E36:E37)</f>
        <v>0</v>
      </c>
      <c r="F35" s="71">
        <f>SUM(F36:F37)</f>
        <v>0</v>
      </c>
      <c r="G35" s="163">
        <f>SUM(G36:G37)</f>
        <v>0</v>
      </c>
      <c r="H35" s="74"/>
      <c r="I35" s="74"/>
      <c r="J35" s="74"/>
      <c r="K35" s="69"/>
      <c r="L35" s="70"/>
      <c r="M35" s="402"/>
      <c r="N35" s="89"/>
      <c r="O35" s="86"/>
      <c r="P35" s="87"/>
    </row>
    <row r="36" spans="1:16" s="88" customFormat="1" ht="21.6" hidden="1" customHeight="1" x14ac:dyDescent="0.25">
      <c r="B36" s="771" t="s">
        <v>397</v>
      </c>
      <c r="C36" s="772"/>
      <c r="D36" s="773"/>
      <c r="E36" s="129">
        <f>F36/F9*100</f>
        <v>0</v>
      </c>
      <c r="F36" s="125"/>
      <c r="G36" s="126"/>
      <c r="H36" s="74"/>
      <c r="I36" s="74"/>
      <c r="J36" s="74"/>
      <c r="K36" s="72"/>
      <c r="L36" s="73"/>
      <c r="M36" s="403"/>
      <c r="N36" s="87"/>
      <c r="O36" s="87"/>
      <c r="P36" s="87"/>
    </row>
    <row r="37" spans="1:16" s="92" customFormat="1" ht="15.75" hidden="1" x14ac:dyDescent="0.25">
      <c r="B37" s="768"/>
      <c r="C37" s="769"/>
      <c r="D37" s="770"/>
      <c r="E37" s="130">
        <f>F37/F9*100</f>
        <v>0</v>
      </c>
      <c r="F37" s="127">
        <f>SUM(G37:M37)</f>
        <v>0</v>
      </c>
      <c r="G37" s="128"/>
      <c r="H37" s="76"/>
      <c r="I37" s="76"/>
      <c r="J37" s="76"/>
      <c r="K37" s="75"/>
      <c r="L37" s="77"/>
      <c r="M37" s="404"/>
      <c r="N37" s="90"/>
      <c r="O37" s="90"/>
      <c r="P37" s="90"/>
    </row>
    <row r="38" spans="1:16" s="79" customFormat="1" ht="18.75" customHeight="1" x14ac:dyDescent="0.25">
      <c r="B38" s="405" t="s">
        <v>36</v>
      </c>
      <c r="C38" s="78"/>
      <c r="M38" s="406"/>
      <c r="N38" s="93"/>
      <c r="O38" s="93"/>
      <c r="P38" s="93"/>
    </row>
    <row r="39" spans="1:16" s="95" customFormat="1" ht="30" customHeight="1" x14ac:dyDescent="0.25">
      <c r="B39" s="763" t="s">
        <v>119</v>
      </c>
      <c r="C39" s="764"/>
      <c r="D39" s="764"/>
      <c r="E39" s="764"/>
      <c r="F39" s="764"/>
      <c r="G39" s="764"/>
      <c r="H39" s="764"/>
      <c r="I39" s="764"/>
      <c r="J39" s="764"/>
      <c r="K39" s="764"/>
      <c r="L39" s="397"/>
      <c r="M39" s="407"/>
      <c r="N39" s="94"/>
      <c r="O39" s="94"/>
      <c r="P39" s="94"/>
    </row>
    <row r="40" spans="1:16" s="95" customFormat="1" ht="16.899999999999999" customHeight="1" x14ac:dyDescent="0.25">
      <c r="B40" s="765">
        <v>45503</v>
      </c>
      <c r="C40" s="766"/>
      <c r="D40" s="766"/>
      <c r="E40" s="766"/>
      <c r="F40" s="766"/>
      <c r="G40" s="766"/>
      <c r="H40" s="766"/>
      <c r="I40" s="766"/>
      <c r="J40" s="766"/>
      <c r="K40" s="766"/>
      <c r="L40" s="113"/>
      <c r="M40" s="408"/>
      <c r="N40" s="94"/>
      <c r="O40" s="94"/>
      <c r="P40" s="94"/>
    </row>
    <row r="41" spans="1:16" ht="52.5" customHeight="1" x14ac:dyDescent="0.25">
      <c r="B41" s="409"/>
      <c r="C41" s="85"/>
      <c r="D41" s="82" t="s">
        <v>108</v>
      </c>
      <c r="I41" s="9" t="s">
        <v>364</v>
      </c>
      <c r="J41" s="9"/>
      <c r="K41" s="9"/>
      <c r="L41" s="138"/>
      <c r="M41" s="410"/>
    </row>
    <row r="42" spans="1:16" ht="15.75" customHeight="1" x14ac:dyDescent="0.25">
      <c r="B42" s="409"/>
      <c r="C42" s="762" t="s">
        <v>312</v>
      </c>
      <c r="D42" s="762"/>
      <c r="E42" s="762"/>
      <c r="F42" s="762"/>
      <c r="I42" s="140"/>
      <c r="J42" s="777" t="s">
        <v>362</v>
      </c>
      <c r="K42" s="777"/>
      <c r="L42" s="140"/>
      <c r="M42" s="411"/>
    </row>
    <row r="43" spans="1:16" ht="15" customHeight="1" x14ac:dyDescent="0.25">
      <c r="B43" s="409"/>
      <c r="C43" s="748" t="s">
        <v>378</v>
      </c>
      <c r="D43" s="748"/>
      <c r="E43" s="748"/>
      <c r="F43" s="748"/>
      <c r="J43" s="767" t="s">
        <v>361</v>
      </c>
      <c r="K43" s="767"/>
      <c r="L43" s="297"/>
      <c r="M43" s="412"/>
    </row>
    <row r="44" spans="1:16" ht="31.5" customHeight="1" x14ac:dyDescent="0.25">
      <c r="A44" s="401"/>
      <c r="B44" s="409"/>
      <c r="J44" s="767"/>
      <c r="K44" s="767"/>
      <c r="M44" s="413"/>
    </row>
    <row r="45" spans="1:16" ht="31.5" customHeight="1" thickBot="1" x14ac:dyDescent="0.3">
      <c r="B45" s="414"/>
      <c r="C45" s="415"/>
      <c r="D45" s="416"/>
      <c r="E45" s="416"/>
      <c r="F45" s="416"/>
      <c r="G45" s="416"/>
      <c r="H45" s="416"/>
      <c r="I45" s="416"/>
      <c r="J45" s="416"/>
      <c r="K45" s="416"/>
      <c r="L45" s="416"/>
      <c r="M45" s="417"/>
    </row>
  </sheetData>
  <mergeCells count="40">
    <mergeCell ref="B32:D32"/>
    <mergeCell ref="B37:D37"/>
    <mergeCell ref="B36:D36"/>
    <mergeCell ref="B35:D35"/>
    <mergeCell ref="J42:K42"/>
    <mergeCell ref="B34:D34"/>
    <mergeCell ref="B33:D33"/>
    <mergeCell ref="C43:F43"/>
    <mergeCell ref="C42:F42"/>
    <mergeCell ref="B39:K39"/>
    <mergeCell ref="B40:K40"/>
    <mergeCell ref="J43:K44"/>
    <mergeCell ref="B2:M2"/>
    <mergeCell ref="O9:Q10"/>
    <mergeCell ref="N3:Q3"/>
    <mergeCell ref="B10:D10"/>
    <mergeCell ref="B3:M3"/>
    <mergeCell ref="B5:M5"/>
    <mergeCell ref="B7:D7"/>
    <mergeCell ref="B4:M4"/>
    <mergeCell ref="B31:D31"/>
    <mergeCell ref="B23:D23"/>
    <mergeCell ref="B16:C16"/>
    <mergeCell ref="B18:D18"/>
    <mergeCell ref="B19:D19"/>
    <mergeCell ref="B21:D21"/>
    <mergeCell ref="B22:D22"/>
    <mergeCell ref="B28:D28"/>
    <mergeCell ref="B30:D30"/>
    <mergeCell ref="B25:D25"/>
    <mergeCell ref="B26:D26"/>
    <mergeCell ref="B29:D29"/>
    <mergeCell ref="B12:D12"/>
    <mergeCell ref="B11:D11"/>
    <mergeCell ref="B20:D20"/>
    <mergeCell ref="B24:D24"/>
    <mergeCell ref="B27:D27"/>
    <mergeCell ref="B15:D15"/>
    <mergeCell ref="B14:D14"/>
    <mergeCell ref="B17:D17"/>
  </mergeCells>
  <printOptions horizontalCentered="1" verticalCentered="1" gridLinesSet="0"/>
  <pageMargins left="0.25" right="0.25" top="0.54" bottom="0.57999999999999996" header="0.3" footer="0.3"/>
  <pageSetup scale="52" firstPageNumber="2" fitToHeight="25" orientation="landscape" blackAndWhite="1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K136"/>
  <sheetViews>
    <sheetView showGridLines="0" zoomScaleNormal="100" workbookViewId="0">
      <selection activeCell="C18" sqref="C18"/>
    </sheetView>
  </sheetViews>
  <sheetFormatPr baseColWidth="10" defaultColWidth="17.140625" defaultRowHeight="21" customHeight="1" x14ac:dyDescent="0.2"/>
  <cols>
    <col min="1" max="1" width="17.140625" style="15"/>
    <col min="2" max="2" width="24" style="2" customWidth="1"/>
    <col min="3" max="7" width="17.140625" style="2"/>
    <col min="8" max="8" width="17.140625" style="15"/>
    <col min="9" max="9" width="17.140625" style="59"/>
    <col min="10" max="10" width="19.5703125" style="15" customWidth="1"/>
    <col min="11" max="16384" width="17.140625" style="15"/>
  </cols>
  <sheetData>
    <row r="1" spans="1:11" s="10" customFormat="1" ht="21" customHeight="1" x14ac:dyDescent="0.25">
      <c r="B1" s="36"/>
      <c r="C1" s="37"/>
      <c r="D1" s="37"/>
      <c r="E1" s="37"/>
      <c r="F1" s="37"/>
      <c r="G1" s="38" t="s">
        <v>46</v>
      </c>
    </row>
    <row r="2" spans="1:11" s="5" customFormat="1" ht="21" customHeight="1" x14ac:dyDescent="0.25">
      <c r="B2" s="836" t="s">
        <v>0</v>
      </c>
      <c r="C2" s="837"/>
      <c r="D2" s="837"/>
      <c r="E2" s="837"/>
      <c r="F2" s="837"/>
      <c r="G2" s="838"/>
      <c r="I2" s="39"/>
    </row>
    <row r="3" spans="1:11" s="40" customFormat="1" ht="21" customHeight="1" x14ac:dyDescent="0.25">
      <c r="B3" s="836" t="s">
        <v>27</v>
      </c>
      <c r="C3" s="837"/>
      <c r="D3" s="837"/>
      <c r="E3" s="837"/>
      <c r="F3" s="837"/>
      <c r="G3" s="838"/>
      <c r="I3" s="41"/>
    </row>
    <row r="4" spans="1:11" s="40" customFormat="1" ht="21" customHeight="1" x14ac:dyDescent="0.25">
      <c r="B4" s="836" t="str">
        <f>'VENC. '!$B$4</f>
        <v>AL 31 DE JULIO  DE 2024</v>
      </c>
      <c r="C4" s="837"/>
      <c r="D4" s="837"/>
      <c r="E4" s="837"/>
      <c r="F4" s="837"/>
      <c r="G4" s="838"/>
      <c r="I4" s="41"/>
    </row>
    <row r="5" spans="1:11" s="42" customFormat="1" ht="21" customHeight="1" x14ac:dyDescent="0.25">
      <c r="B5" s="43"/>
      <c r="C5" s="43"/>
      <c r="D5" s="44"/>
      <c r="E5" s="45"/>
      <c r="F5" s="45"/>
      <c r="G5" s="44"/>
      <c r="H5" s="46"/>
      <c r="I5" s="47"/>
    </row>
    <row r="6" spans="1:11" s="48" customFormat="1" ht="43.5" customHeight="1" x14ac:dyDescent="0.25">
      <c r="B6" s="49" t="s">
        <v>1</v>
      </c>
      <c r="C6" s="50" t="s">
        <v>28</v>
      </c>
      <c r="D6" s="51"/>
      <c r="E6" s="50" t="s">
        <v>2</v>
      </c>
      <c r="F6" s="120" t="s">
        <v>29</v>
      </c>
      <c r="G6" s="52" t="s">
        <v>3</v>
      </c>
      <c r="I6" s="53"/>
    </row>
    <row r="7" spans="1:11" s="8" customFormat="1" ht="21" customHeight="1" x14ac:dyDescent="0.25">
      <c r="B7" s="109"/>
      <c r="C7" s="10"/>
      <c r="D7" s="35" t="s">
        <v>4</v>
      </c>
      <c r="E7" s="54"/>
      <c r="F7" s="30">
        <f>+F8</f>
        <v>0</v>
      </c>
      <c r="G7" s="119"/>
      <c r="H7" s="55"/>
      <c r="I7" s="6"/>
    </row>
    <row r="8" spans="1:11" s="8" customFormat="1" ht="21" customHeight="1" x14ac:dyDescent="0.25">
      <c r="B8" s="845" t="s">
        <v>118</v>
      </c>
      <c r="C8" s="846"/>
      <c r="D8" s="54"/>
      <c r="E8" s="54"/>
      <c r="F8" s="56">
        <f>SUM(F9:F9)</f>
        <v>0</v>
      </c>
      <c r="G8" s="119"/>
      <c r="I8" s="6"/>
      <c r="K8" s="8">
        <v>2919707123</v>
      </c>
    </row>
    <row r="9" spans="1:11" s="8" customFormat="1" ht="21" customHeight="1" x14ac:dyDescent="0.25">
      <c r="A9" s="8" t="s">
        <v>36</v>
      </c>
      <c r="B9" s="135">
        <v>110000071298</v>
      </c>
      <c r="C9" s="133">
        <v>43776</v>
      </c>
      <c r="D9" s="133">
        <v>43956</v>
      </c>
      <c r="E9" s="132" t="s">
        <v>109</v>
      </c>
      <c r="F9" s="134"/>
      <c r="G9" s="136">
        <v>1.9</v>
      </c>
      <c r="H9" s="111" t="s">
        <v>40</v>
      </c>
      <c r="I9" s="111"/>
      <c r="K9" s="8">
        <v>1509736</v>
      </c>
    </row>
    <row r="10" spans="1:11" s="12" customFormat="1" ht="21" customHeight="1" x14ac:dyDescent="0.25">
      <c r="B10" s="842" t="s">
        <v>51</v>
      </c>
      <c r="C10" s="843"/>
      <c r="D10" s="843"/>
      <c r="E10" s="843"/>
      <c r="F10" s="843"/>
      <c r="G10" s="844"/>
      <c r="I10" s="11"/>
      <c r="K10" s="12">
        <f>SUM(K8:K9)</f>
        <v>2921216859</v>
      </c>
    </row>
    <row r="11" spans="1:11" s="57" customFormat="1" ht="21" customHeight="1" x14ac:dyDescent="0.25">
      <c r="B11" s="842"/>
      <c r="C11" s="843"/>
      <c r="D11" s="843"/>
      <c r="E11" s="843"/>
      <c r="F11" s="843"/>
      <c r="G11" s="844"/>
      <c r="I11" s="58"/>
    </row>
    <row r="12" spans="1:11" s="19" customFormat="1" ht="21" customHeight="1" x14ac:dyDescent="0.25">
      <c r="B12" s="839" t="e">
        <f>SEGUROS!#REF!</f>
        <v>#REF!</v>
      </c>
      <c r="C12" s="840"/>
      <c r="D12" s="840"/>
      <c r="E12" s="840"/>
      <c r="F12" s="840"/>
      <c r="G12" s="841"/>
    </row>
    <row r="13" spans="1:11" s="2" customFormat="1" ht="21" customHeight="1" x14ac:dyDescent="0.2">
      <c r="B13" s="847">
        <f>'VENC. '!$B$274</f>
        <v>45504</v>
      </c>
      <c r="C13" s="848"/>
      <c r="D13" s="848"/>
      <c r="E13" s="848"/>
      <c r="F13" s="848"/>
      <c r="G13" s="849"/>
      <c r="I13" s="33"/>
    </row>
    <row r="14" spans="1:11" s="2" customFormat="1" ht="21" customHeight="1" x14ac:dyDescent="0.2">
      <c r="B14" s="116" t="str">
        <f>'VENC. '!B$275</f>
        <v>Preparado por:    _______________________________________________</v>
      </c>
      <c r="C14" s="117"/>
      <c r="D14" s="830" t="str">
        <f>'VENC. '!D$275</f>
        <v>Revisado por:      ________________________________________</v>
      </c>
      <c r="E14" s="830"/>
      <c r="F14" s="830"/>
      <c r="G14" s="831"/>
      <c r="I14" s="33"/>
    </row>
    <row r="15" spans="1:11" s="1" customFormat="1" ht="21" customHeight="1" x14ac:dyDescent="0.25">
      <c r="B15" s="850" t="str">
        <f>'VENC. '!B$276</f>
        <v>Lic. Javier A. Moreno I</v>
      </c>
      <c r="C15" s="832"/>
      <c r="D15" s="832" t="str">
        <f>'VENC. '!D$276</f>
        <v>Lic. Julio Perez</v>
      </c>
      <c r="E15" s="832"/>
      <c r="F15" s="832"/>
      <c r="G15" s="833"/>
      <c r="I15" s="3"/>
    </row>
    <row r="16" spans="1:11" s="1" customFormat="1" ht="21" customHeight="1" x14ac:dyDescent="0.25">
      <c r="B16" s="851" t="str">
        <f>'VENC. '!B$277</f>
        <v>Analista Financiero I</v>
      </c>
      <c r="C16" s="834"/>
      <c r="D16" s="834" t="str">
        <f>'VENC. '!D$277</f>
        <v>Jefe de Sección Analisis Y Programación Financiera</v>
      </c>
      <c r="E16" s="834"/>
      <c r="F16" s="834"/>
      <c r="G16" s="835"/>
      <c r="I16" s="3" t="s">
        <v>116</v>
      </c>
    </row>
    <row r="17" spans="2:9" s="9" customFormat="1" ht="21" customHeight="1" x14ac:dyDescent="0.25">
      <c r="B17" s="2"/>
      <c r="C17" s="2"/>
      <c r="D17" s="2"/>
      <c r="E17" s="2"/>
      <c r="F17" s="2"/>
      <c r="G17" s="2"/>
      <c r="I17" s="16"/>
    </row>
    <row r="18" spans="2:9" s="9" customFormat="1" ht="21" customHeight="1" x14ac:dyDescent="0.25">
      <c r="B18" s="2"/>
      <c r="C18" s="385" t="s">
        <v>409</v>
      </c>
      <c r="D18" s="2"/>
      <c r="E18" s="2"/>
      <c r="F18" s="2"/>
      <c r="G18" s="2"/>
      <c r="I18" s="16"/>
    </row>
    <row r="19" spans="2:9" s="9" customFormat="1" ht="21" customHeight="1" x14ac:dyDescent="0.25">
      <c r="B19" s="2"/>
      <c r="C19" s="2"/>
      <c r="D19" s="2"/>
      <c r="E19" s="2"/>
      <c r="F19" s="2"/>
      <c r="G19" s="2"/>
      <c r="I19" s="16"/>
    </row>
    <row r="20" spans="2:9" s="9" customFormat="1" ht="21" customHeight="1" x14ac:dyDescent="0.25">
      <c r="B20" s="2"/>
      <c r="C20" s="852"/>
      <c r="D20" s="852"/>
      <c r="E20" s="2"/>
      <c r="F20" s="2"/>
      <c r="G20" s="2"/>
      <c r="I20" s="16"/>
    </row>
    <row r="21" spans="2:9" s="9" customFormat="1" ht="21" customHeight="1" x14ac:dyDescent="0.25">
      <c r="B21" s="2"/>
      <c r="C21" s="2"/>
      <c r="D21" s="2"/>
      <c r="E21" s="2"/>
      <c r="F21" s="2"/>
      <c r="G21" s="2"/>
      <c r="I21" s="16"/>
    </row>
    <row r="22" spans="2:9" s="9" customFormat="1" ht="21" customHeight="1" x14ac:dyDescent="0.25">
      <c r="B22" s="2"/>
      <c r="C22" s="853"/>
      <c r="D22" s="853"/>
      <c r="E22" s="2"/>
      <c r="F22" s="2"/>
      <c r="G22" s="2"/>
      <c r="I22" s="16"/>
    </row>
    <row r="23" spans="2:9" s="9" customFormat="1" ht="21" customHeight="1" x14ac:dyDescent="0.25">
      <c r="B23" s="2"/>
      <c r="C23" s="2"/>
      <c r="D23" s="2"/>
      <c r="E23" s="2"/>
      <c r="F23" s="2"/>
      <c r="G23" s="2"/>
      <c r="I23" s="16"/>
    </row>
    <row r="24" spans="2:9" s="9" customFormat="1" ht="21" customHeight="1" x14ac:dyDescent="0.25">
      <c r="B24" s="2"/>
      <c r="C24" s="2"/>
      <c r="D24" s="2"/>
      <c r="E24" s="2"/>
      <c r="F24" s="2"/>
      <c r="G24" s="2"/>
      <c r="I24" s="16"/>
    </row>
    <row r="25" spans="2:9" s="9" customFormat="1" ht="21" customHeight="1" x14ac:dyDescent="0.25">
      <c r="B25" s="2"/>
      <c r="C25" s="2"/>
      <c r="D25" s="2"/>
      <c r="E25" s="2"/>
      <c r="F25" s="2"/>
      <c r="G25" s="2"/>
      <c r="I25" s="16"/>
    </row>
    <row r="26" spans="2:9" s="9" customFormat="1" ht="21" customHeight="1" x14ac:dyDescent="0.25">
      <c r="B26" s="2"/>
      <c r="C26" s="2"/>
      <c r="D26" s="2"/>
      <c r="E26" s="2"/>
      <c r="F26" s="2"/>
      <c r="G26" s="2"/>
      <c r="I26" s="16"/>
    </row>
    <row r="27" spans="2:9" s="9" customFormat="1" ht="21" customHeight="1" x14ac:dyDescent="0.25">
      <c r="B27" s="2"/>
      <c r="C27" s="2"/>
      <c r="D27" s="2"/>
      <c r="E27" s="2"/>
      <c r="F27" s="2"/>
      <c r="G27" s="2"/>
      <c r="I27" s="16"/>
    </row>
    <row r="28" spans="2:9" s="9" customFormat="1" ht="21" customHeight="1" x14ac:dyDescent="0.25">
      <c r="B28" s="2"/>
      <c r="C28" s="2"/>
      <c r="D28" s="2"/>
      <c r="E28" s="2"/>
      <c r="F28" s="2"/>
      <c r="G28" s="2"/>
      <c r="I28" s="16"/>
    </row>
    <row r="29" spans="2:9" s="9" customFormat="1" ht="21" customHeight="1" x14ac:dyDescent="0.25">
      <c r="B29" s="2"/>
      <c r="C29" s="854"/>
      <c r="D29" s="854"/>
      <c r="E29" s="854"/>
      <c r="F29" s="854"/>
      <c r="G29" s="2"/>
      <c r="I29" s="16"/>
    </row>
    <row r="30" spans="2:9" s="9" customFormat="1" ht="21" customHeight="1" x14ac:dyDescent="0.25">
      <c r="B30" s="2"/>
      <c r="C30" s="852"/>
      <c r="D30" s="852"/>
      <c r="E30" s="852"/>
      <c r="F30" s="852"/>
      <c r="G30" s="852"/>
      <c r="I30" s="16"/>
    </row>
    <row r="31" spans="2:9" s="9" customFormat="1" ht="21" customHeight="1" x14ac:dyDescent="0.25">
      <c r="B31" s="2"/>
      <c r="C31" s="2"/>
      <c r="D31" s="2"/>
      <c r="E31" s="2"/>
      <c r="F31" s="2"/>
      <c r="G31" s="2"/>
      <c r="I31" s="16"/>
    </row>
    <row r="32" spans="2:9" s="9" customFormat="1" ht="21" customHeight="1" x14ac:dyDescent="0.25">
      <c r="B32" s="2"/>
      <c r="C32" s="2"/>
      <c r="D32" s="2"/>
      <c r="E32" s="2"/>
      <c r="F32" s="2"/>
      <c r="G32" s="2"/>
      <c r="I32" s="16"/>
    </row>
    <row r="33" spans="2:9" s="9" customFormat="1" ht="21" customHeight="1" x14ac:dyDescent="0.25">
      <c r="B33" s="2"/>
      <c r="C33" s="2"/>
      <c r="D33" s="2"/>
      <c r="E33" s="2"/>
      <c r="F33" s="2"/>
      <c r="G33" s="2"/>
      <c r="I33" s="16"/>
    </row>
    <row r="34" spans="2:9" s="9" customFormat="1" ht="21" customHeight="1" x14ac:dyDescent="0.25">
      <c r="B34" s="2"/>
      <c r="C34" s="2"/>
      <c r="D34" s="2"/>
      <c r="E34" s="2"/>
      <c r="F34" s="2"/>
      <c r="G34" s="2"/>
      <c r="I34" s="16"/>
    </row>
    <row r="35" spans="2:9" s="9" customFormat="1" ht="21" customHeight="1" x14ac:dyDescent="0.25">
      <c r="B35" s="2"/>
      <c r="C35" s="2"/>
      <c r="D35" s="2"/>
      <c r="E35" s="2"/>
      <c r="F35" s="2"/>
      <c r="G35" s="2"/>
      <c r="I35" s="16"/>
    </row>
    <row r="36" spans="2:9" s="9" customFormat="1" ht="21" customHeight="1" x14ac:dyDescent="0.25">
      <c r="B36" s="2"/>
      <c r="C36" s="2"/>
      <c r="D36" s="2"/>
      <c r="E36" s="2"/>
      <c r="F36" s="2"/>
      <c r="G36" s="2"/>
      <c r="I36" s="16"/>
    </row>
    <row r="37" spans="2:9" s="9" customFormat="1" ht="21" customHeight="1" x14ac:dyDescent="0.25">
      <c r="B37" s="2"/>
      <c r="C37" s="2"/>
      <c r="D37" s="2"/>
      <c r="E37" s="2"/>
      <c r="F37" s="2"/>
      <c r="G37" s="2"/>
      <c r="I37" s="16"/>
    </row>
    <row r="38" spans="2:9" s="9" customFormat="1" ht="21" customHeight="1" x14ac:dyDescent="0.25">
      <c r="B38" s="2"/>
      <c r="C38" s="2"/>
      <c r="D38" s="2"/>
      <c r="E38" s="2"/>
      <c r="F38" s="2"/>
      <c r="G38" s="2"/>
      <c r="I38" s="16"/>
    </row>
    <row r="39" spans="2:9" s="9" customFormat="1" ht="21" customHeight="1" x14ac:dyDescent="0.25">
      <c r="B39" s="2"/>
      <c r="C39" s="2"/>
      <c r="D39" s="2"/>
      <c r="E39" s="2"/>
      <c r="F39" s="2"/>
      <c r="G39" s="2"/>
      <c r="I39" s="16"/>
    </row>
    <row r="40" spans="2:9" s="9" customFormat="1" ht="21" customHeight="1" x14ac:dyDescent="0.25">
      <c r="B40" s="2"/>
      <c r="C40" s="2"/>
      <c r="D40" s="2"/>
      <c r="E40" s="2"/>
      <c r="F40" s="2"/>
      <c r="G40" s="2"/>
      <c r="I40" s="16"/>
    </row>
    <row r="41" spans="2:9" s="9" customFormat="1" ht="21" customHeight="1" x14ac:dyDescent="0.25">
      <c r="B41" s="2"/>
      <c r="C41" s="2"/>
      <c r="D41" s="2"/>
      <c r="E41" s="2"/>
      <c r="F41" s="2"/>
      <c r="G41" s="2"/>
      <c r="I41" s="16"/>
    </row>
    <row r="42" spans="2:9" s="9" customFormat="1" ht="21" customHeight="1" x14ac:dyDescent="0.25">
      <c r="B42" s="2"/>
      <c r="C42" s="2"/>
      <c r="D42" s="2"/>
      <c r="E42" s="2"/>
      <c r="F42" s="2"/>
      <c r="G42" s="2"/>
      <c r="I42" s="16"/>
    </row>
    <row r="43" spans="2:9" s="9" customFormat="1" ht="21" customHeight="1" x14ac:dyDescent="0.25">
      <c r="B43" s="2"/>
      <c r="C43" s="2"/>
      <c r="D43" s="2"/>
      <c r="E43" s="2"/>
      <c r="F43" s="2"/>
      <c r="G43" s="2"/>
      <c r="I43" s="16"/>
    </row>
    <row r="44" spans="2:9" s="9" customFormat="1" ht="21" customHeight="1" x14ac:dyDescent="0.25">
      <c r="B44" s="2"/>
      <c r="C44" s="2"/>
      <c r="D44" s="2"/>
      <c r="E44" s="2"/>
      <c r="F44" s="2"/>
      <c r="G44" s="2"/>
      <c r="I44" s="16"/>
    </row>
    <row r="45" spans="2:9" s="9" customFormat="1" ht="21" customHeight="1" x14ac:dyDescent="0.25">
      <c r="B45" s="2"/>
      <c r="C45" s="2"/>
      <c r="D45" s="2"/>
      <c r="E45" s="2"/>
      <c r="F45" s="2"/>
      <c r="G45" s="2"/>
      <c r="I45" s="16"/>
    </row>
    <row r="46" spans="2:9" s="9" customFormat="1" ht="21" customHeight="1" x14ac:dyDescent="0.25">
      <c r="B46" s="2"/>
      <c r="C46" s="2"/>
      <c r="D46" s="2"/>
      <c r="E46" s="2"/>
      <c r="F46" s="2"/>
      <c r="G46" s="2"/>
      <c r="I46" s="16"/>
    </row>
    <row r="47" spans="2:9" s="9" customFormat="1" ht="21" customHeight="1" x14ac:dyDescent="0.25">
      <c r="B47" s="2"/>
      <c r="C47" s="2"/>
      <c r="D47" s="2"/>
      <c r="E47" s="2"/>
      <c r="F47" s="2"/>
      <c r="G47" s="2"/>
      <c r="I47" s="16"/>
    </row>
    <row r="48" spans="2:9" s="9" customFormat="1" ht="21" customHeight="1" x14ac:dyDescent="0.25">
      <c r="B48" s="2"/>
      <c r="C48" s="2"/>
      <c r="D48" s="2"/>
      <c r="E48" s="2"/>
      <c r="F48" s="2"/>
      <c r="G48" s="2"/>
      <c r="I48" s="16"/>
    </row>
    <row r="49" spans="2:9" s="9" customFormat="1" ht="21" customHeight="1" x14ac:dyDescent="0.25">
      <c r="B49" s="2"/>
      <c r="C49" s="2"/>
      <c r="D49" s="2"/>
      <c r="E49" s="2"/>
      <c r="F49" s="2"/>
      <c r="G49" s="2"/>
      <c r="I49" s="16"/>
    </row>
    <row r="50" spans="2:9" s="9" customFormat="1" ht="21" customHeight="1" x14ac:dyDescent="0.25">
      <c r="B50" s="2"/>
      <c r="C50" s="2"/>
      <c r="D50" s="2"/>
      <c r="E50" s="2"/>
      <c r="F50" s="2"/>
      <c r="G50" s="2"/>
      <c r="I50" s="16"/>
    </row>
    <row r="51" spans="2:9" s="9" customFormat="1" ht="21" customHeight="1" x14ac:dyDescent="0.25">
      <c r="B51" s="2"/>
      <c r="C51" s="2"/>
      <c r="D51" s="2"/>
      <c r="E51" s="2"/>
      <c r="F51" s="2"/>
      <c r="G51" s="2"/>
      <c r="I51" s="16"/>
    </row>
    <row r="52" spans="2:9" s="9" customFormat="1" ht="21" customHeight="1" x14ac:dyDescent="0.25">
      <c r="B52" s="2"/>
      <c r="C52" s="2"/>
      <c r="D52" s="2"/>
      <c r="E52" s="2"/>
      <c r="F52" s="2"/>
      <c r="G52" s="2"/>
      <c r="I52" s="16"/>
    </row>
    <row r="53" spans="2:9" s="9" customFormat="1" ht="21" customHeight="1" x14ac:dyDescent="0.25">
      <c r="B53" s="2"/>
      <c r="C53" s="2"/>
      <c r="D53" s="2"/>
      <c r="E53" s="2"/>
      <c r="F53" s="2"/>
      <c r="G53" s="2"/>
      <c r="I53" s="16"/>
    </row>
    <row r="54" spans="2:9" s="9" customFormat="1" ht="21" customHeight="1" x14ac:dyDescent="0.25">
      <c r="B54" s="2"/>
      <c r="C54" s="2"/>
      <c r="D54" s="2"/>
      <c r="E54" s="2"/>
      <c r="F54" s="2"/>
      <c r="G54" s="2"/>
      <c r="I54" s="16"/>
    </row>
    <row r="55" spans="2:9" s="9" customFormat="1" ht="21" customHeight="1" x14ac:dyDescent="0.25">
      <c r="B55" s="2"/>
      <c r="C55" s="2"/>
      <c r="D55" s="2"/>
      <c r="E55" s="2"/>
      <c r="F55" s="2"/>
      <c r="G55" s="2"/>
      <c r="I55" s="16"/>
    </row>
    <row r="56" spans="2:9" s="9" customFormat="1" ht="21" customHeight="1" x14ac:dyDescent="0.25">
      <c r="B56" s="2"/>
      <c r="C56" s="2"/>
      <c r="D56" s="2"/>
      <c r="E56" s="2"/>
      <c r="F56" s="2"/>
      <c r="G56" s="2"/>
      <c r="I56" s="16"/>
    </row>
    <row r="57" spans="2:9" s="9" customFormat="1" ht="21" customHeight="1" x14ac:dyDescent="0.25">
      <c r="B57" s="2"/>
      <c r="C57" s="2"/>
      <c r="D57" s="2"/>
      <c r="E57" s="2"/>
      <c r="F57" s="2"/>
      <c r="G57" s="2"/>
      <c r="I57" s="16"/>
    </row>
    <row r="58" spans="2:9" s="9" customFormat="1" ht="21" customHeight="1" x14ac:dyDescent="0.25">
      <c r="B58" s="2"/>
      <c r="C58" s="2"/>
      <c r="D58" s="2"/>
      <c r="E58" s="2"/>
      <c r="F58" s="2"/>
      <c r="G58" s="2"/>
      <c r="I58" s="16"/>
    </row>
    <row r="59" spans="2:9" s="9" customFormat="1" ht="21" customHeight="1" x14ac:dyDescent="0.25">
      <c r="B59" s="2"/>
      <c r="C59" s="2"/>
      <c r="D59" s="2"/>
      <c r="E59" s="2"/>
      <c r="F59" s="2"/>
      <c r="G59" s="2"/>
      <c r="I59" s="16"/>
    </row>
    <row r="60" spans="2:9" s="9" customFormat="1" ht="21" customHeight="1" x14ac:dyDescent="0.25">
      <c r="B60" s="2"/>
      <c r="C60" s="2"/>
      <c r="D60" s="2"/>
      <c r="E60" s="2"/>
      <c r="F60" s="2"/>
      <c r="G60" s="2"/>
      <c r="I60" s="16"/>
    </row>
    <row r="61" spans="2:9" s="9" customFormat="1" ht="21" customHeight="1" x14ac:dyDescent="0.25">
      <c r="B61" s="2"/>
      <c r="C61" s="2"/>
      <c r="D61" s="2"/>
      <c r="E61" s="2"/>
      <c r="F61" s="2"/>
      <c r="G61" s="2"/>
      <c r="I61" s="16"/>
    </row>
    <row r="62" spans="2:9" s="9" customFormat="1" ht="21" customHeight="1" x14ac:dyDescent="0.25">
      <c r="B62" s="2"/>
      <c r="C62" s="2"/>
      <c r="D62" s="2"/>
      <c r="E62" s="2"/>
      <c r="F62" s="2"/>
      <c r="G62" s="2"/>
      <c r="I62" s="16"/>
    </row>
    <row r="63" spans="2:9" s="9" customFormat="1" ht="21" customHeight="1" x14ac:dyDescent="0.25">
      <c r="B63" s="2"/>
      <c r="C63" s="2"/>
      <c r="D63" s="2"/>
      <c r="E63" s="2"/>
      <c r="F63" s="2"/>
      <c r="G63" s="2"/>
      <c r="I63" s="16"/>
    </row>
    <row r="64" spans="2:9" s="9" customFormat="1" ht="21" customHeight="1" x14ac:dyDescent="0.25">
      <c r="B64" s="2"/>
      <c r="C64" s="2"/>
      <c r="D64" s="2"/>
      <c r="E64" s="2"/>
      <c r="F64" s="2"/>
      <c r="G64" s="2"/>
      <c r="I64" s="16"/>
    </row>
    <row r="65" spans="2:9" s="9" customFormat="1" ht="21" customHeight="1" x14ac:dyDescent="0.25">
      <c r="B65" s="2"/>
      <c r="C65" s="2"/>
      <c r="D65" s="2"/>
      <c r="E65" s="2"/>
      <c r="F65" s="2"/>
      <c r="G65" s="2"/>
      <c r="I65" s="16"/>
    </row>
    <row r="66" spans="2:9" s="9" customFormat="1" ht="21" customHeight="1" x14ac:dyDescent="0.25">
      <c r="B66" s="2"/>
      <c r="C66" s="2"/>
      <c r="D66" s="2"/>
      <c r="E66" s="2"/>
      <c r="F66" s="2"/>
      <c r="G66" s="2"/>
      <c r="I66" s="16"/>
    </row>
    <row r="67" spans="2:9" s="9" customFormat="1" ht="21" customHeight="1" x14ac:dyDescent="0.25">
      <c r="B67" s="2"/>
      <c r="C67" s="2"/>
      <c r="D67" s="2"/>
      <c r="E67" s="2"/>
      <c r="F67" s="2"/>
      <c r="G67" s="2"/>
      <c r="I67" s="16"/>
    </row>
    <row r="68" spans="2:9" s="9" customFormat="1" ht="21" customHeight="1" x14ac:dyDescent="0.25">
      <c r="B68" s="2"/>
      <c r="C68" s="2"/>
      <c r="D68" s="2"/>
      <c r="E68" s="2"/>
      <c r="F68" s="2"/>
      <c r="G68" s="2"/>
      <c r="I68" s="16"/>
    </row>
    <row r="69" spans="2:9" s="9" customFormat="1" ht="21" customHeight="1" x14ac:dyDescent="0.25">
      <c r="B69" s="2"/>
      <c r="C69" s="2"/>
      <c r="D69" s="2"/>
      <c r="E69" s="2"/>
      <c r="F69" s="2"/>
      <c r="G69" s="2"/>
      <c r="I69" s="16"/>
    </row>
    <row r="70" spans="2:9" s="9" customFormat="1" ht="21" customHeight="1" x14ac:dyDescent="0.25">
      <c r="B70" s="2"/>
      <c r="C70" s="2"/>
      <c r="D70" s="2"/>
      <c r="E70" s="2"/>
      <c r="F70" s="2"/>
      <c r="G70" s="2"/>
      <c r="I70" s="16"/>
    </row>
    <row r="71" spans="2:9" s="9" customFormat="1" ht="21" customHeight="1" x14ac:dyDescent="0.25">
      <c r="B71" s="2"/>
      <c r="C71" s="2"/>
      <c r="D71" s="2"/>
      <c r="E71" s="2"/>
      <c r="F71" s="2"/>
      <c r="G71" s="2"/>
      <c r="I71" s="16"/>
    </row>
    <row r="72" spans="2:9" s="9" customFormat="1" ht="21" customHeight="1" x14ac:dyDescent="0.25">
      <c r="B72" s="2"/>
      <c r="C72" s="2"/>
      <c r="D72" s="2"/>
      <c r="E72" s="2"/>
      <c r="F72" s="2"/>
      <c r="G72" s="2"/>
      <c r="I72" s="16"/>
    </row>
    <row r="73" spans="2:9" s="9" customFormat="1" ht="21" customHeight="1" x14ac:dyDescent="0.25">
      <c r="B73" s="2"/>
      <c r="C73" s="2"/>
      <c r="D73" s="2"/>
      <c r="E73" s="2"/>
      <c r="F73" s="2"/>
      <c r="G73" s="2"/>
      <c r="I73" s="16"/>
    </row>
    <row r="74" spans="2:9" s="9" customFormat="1" ht="21" customHeight="1" x14ac:dyDescent="0.25">
      <c r="B74" s="2"/>
      <c r="C74" s="2"/>
      <c r="D74" s="2"/>
      <c r="E74" s="2"/>
      <c r="F74" s="2"/>
      <c r="G74" s="2"/>
      <c r="I74" s="16"/>
    </row>
    <row r="75" spans="2:9" s="9" customFormat="1" ht="21" customHeight="1" x14ac:dyDescent="0.25">
      <c r="B75" s="2"/>
      <c r="C75" s="2"/>
      <c r="D75" s="2"/>
      <c r="E75" s="2"/>
      <c r="F75" s="2"/>
      <c r="G75" s="2"/>
      <c r="I75" s="16"/>
    </row>
    <row r="76" spans="2:9" s="9" customFormat="1" ht="21" customHeight="1" x14ac:dyDescent="0.25">
      <c r="B76" s="2"/>
      <c r="C76" s="2"/>
      <c r="D76" s="2"/>
      <c r="E76" s="2"/>
      <c r="F76" s="2"/>
      <c r="G76" s="2"/>
      <c r="I76" s="16"/>
    </row>
    <row r="77" spans="2:9" s="9" customFormat="1" ht="21" customHeight="1" x14ac:dyDescent="0.25">
      <c r="B77" s="2"/>
      <c r="C77" s="2"/>
      <c r="D77" s="2"/>
      <c r="E77" s="2"/>
      <c r="F77" s="2"/>
      <c r="G77" s="2"/>
      <c r="I77" s="16"/>
    </row>
    <row r="78" spans="2:9" s="9" customFormat="1" ht="21" customHeight="1" x14ac:dyDescent="0.25">
      <c r="B78" s="2"/>
      <c r="C78" s="2"/>
      <c r="D78" s="2"/>
      <c r="E78" s="2"/>
      <c r="F78" s="2"/>
      <c r="G78" s="2"/>
      <c r="I78" s="16"/>
    </row>
    <row r="79" spans="2:9" s="9" customFormat="1" ht="21" customHeight="1" x14ac:dyDescent="0.25">
      <c r="B79" s="2"/>
      <c r="C79" s="2"/>
      <c r="D79" s="2"/>
      <c r="E79" s="2"/>
      <c r="F79" s="2"/>
      <c r="G79" s="2"/>
      <c r="I79" s="16"/>
    </row>
    <row r="80" spans="2:9" s="9" customFormat="1" ht="21" customHeight="1" x14ac:dyDescent="0.25">
      <c r="B80" s="2"/>
      <c r="C80" s="2"/>
      <c r="D80" s="2"/>
      <c r="E80" s="2"/>
      <c r="F80" s="2"/>
      <c r="G80" s="2"/>
      <c r="I80" s="16"/>
    </row>
    <row r="81" spans="2:9" s="9" customFormat="1" ht="21" customHeight="1" x14ac:dyDescent="0.25">
      <c r="B81" s="2"/>
      <c r="C81" s="2"/>
      <c r="D81" s="2"/>
      <c r="E81" s="2"/>
      <c r="F81" s="2"/>
      <c r="G81" s="2"/>
      <c r="I81" s="16"/>
    </row>
    <row r="82" spans="2:9" s="9" customFormat="1" ht="21" customHeight="1" x14ac:dyDescent="0.25">
      <c r="B82" s="2"/>
      <c r="C82" s="2"/>
      <c r="D82" s="2"/>
      <c r="E82" s="2"/>
      <c r="F82" s="2"/>
      <c r="G82" s="2"/>
      <c r="I82" s="16"/>
    </row>
    <row r="83" spans="2:9" s="9" customFormat="1" ht="21" customHeight="1" x14ac:dyDescent="0.25">
      <c r="B83" s="2"/>
      <c r="C83" s="2"/>
      <c r="D83" s="2"/>
      <c r="E83" s="2"/>
      <c r="F83" s="2"/>
      <c r="G83" s="2"/>
      <c r="I83" s="16"/>
    </row>
    <row r="84" spans="2:9" s="9" customFormat="1" ht="21" customHeight="1" x14ac:dyDescent="0.25">
      <c r="B84" s="2"/>
      <c r="C84" s="2"/>
      <c r="D84" s="2"/>
      <c r="E84" s="2"/>
      <c r="F84" s="2"/>
      <c r="G84" s="2"/>
      <c r="I84" s="16"/>
    </row>
    <row r="85" spans="2:9" s="9" customFormat="1" ht="21" customHeight="1" x14ac:dyDescent="0.25">
      <c r="B85" s="2"/>
      <c r="C85" s="2"/>
      <c r="D85" s="2"/>
      <c r="E85" s="2"/>
      <c r="F85" s="2"/>
      <c r="G85" s="2"/>
      <c r="I85" s="16"/>
    </row>
    <row r="86" spans="2:9" s="9" customFormat="1" ht="21" customHeight="1" x14ac:dyDescent="0.25">
      <c r="B86" s="2"/>
      <c r="C86" s="2"/>
      <c r="D86" s="2"/>
      <c r="E86" s="2"/>
      <c r="F86" s="2"/>
      <c r="G86" s="2"/>
      <c r="I86" s="16"/>
    </row>
    <row r="87" spans="2:9" s="9" customFormat="1" ht="21" customHeight="1" x14ac:dyDescent="0.25">
      <c r="B87" s="2"/>
      <c r="C87" s="2"/>
      <c r="D87" s="2"/>
      <c r="E87" s="2"/>
      <c r="F87" s="2"/>
      <c r="G87" s="2"/>
      <c r="I87" s="16"/>
    </row>
    <row r="88" spans="2:9" s="9" customFormat="1" ht="21" customHeight="1" x14ac:dyDescent="0.25">
      <c r="B88" s="2"/>
      <c r="C88" s="2"/>
      <c r="D88" s="2"/>
      <c r="E88" s="2"/>
      <c r="F88" s="2"/>
      <c r="G88" s="2"/>
      <c r="I88" s="16"/>
    </row>
    <row r="89" spans="2:9" s="9" customFormat="1" ht="21" customHeight="1" x14ac:dyDescent="0.25">
      <c r="B89" s="2"/>
      <c r="C89" s="2"/>
      <c r="D89" s="2"/>
      <c r="E89" s="2"/>
      <c r="F89" s="2"/>
      <c r="G89" s="2"/>
      <c r="I89" s="16"/>
    </row>
    <row r="90" spans="2:9" s="9" customFormat="1" ht="21" customHeight="1" x14ac:dyDescent="0.25">
      <c r="B90" s="2"/>
      <c r="C90" s="2"/>
      <c r="D90" s="2"/>
      <c r="E90" s="2"/>
      <c r="F90" s="2"/>
      <c r="G90" s="2"/>
      <c r="I90" s="16"/>
    </row>
    <row r="91" spans="2:9" s="9" customFormat="1" ht="21" customHeight="1" x14ac:dyDescent="0.25">
      <c r="B91" s="2"/>
      <c r="C91" s="2"/>
      <c r="D91" s="2"/>
      <c r="E91" s="2"/>
      <c r="F91" s="2"/>
      <c r="G91" s="2"/>
      <c r="I91" s="16"/>
    </row>
    <row r="92" spans="2:9" s="9" customFormat="1" ht="21" customHeight="1" x14ac:dyDescent="0.25">
      <c r="B92" s="2"/>
      <c r="C92" s="2"/>
      <c r="D92" s="2"/>
      <c r="E92" s="2"/>
      <c r="F92" s="2"/>
      <c r="G92" s="2"/>
      <c r="I92" s="16"/>
    </row>
    <row r="93" spans="2:9" s="9" customFormat="1" ht="21" customHeight="1" x14ac:dyDescent="0.25">
      <c r="B93" s="2"/>
      <c r="C93" s="2"/>
      <c r="D93" s="2"/>
      <c r="E93" s="2"/>
      <c r="F93" s="2"/>
      <c r="G93" s="2"/>
      <c r="I93" s="16"/>
    </row>
    <row r="94" spans="2:9" s="9" customFormat="1" ht="21" customHeight="1" x14ac:dyDescent="0.25">
      <c r="B94" s="2"/>
      <c r="C94" s="2"/>
      <c r="D94" s="2"/>
      <c r="E94" s="2"/>
      <c r="F94" s="2"/>
      <c r="G94" s="2"/>
      <c r="I94" s="16"/>
    </row>
    <row r="95" spans="2:9" s="9" customFormat="1" ht="21" customHeight="1" x14ac:dyDescent="0.25">
      <c r="B95" s="2"/>
      <c r="C95" s="2"/>
      <c r="D95" s="2"/>
      <c r="E95" s="2"/>
      <c r="F95" s="2"/>
      <c r="G95" s="2"/>
      <c r="I95" s="16"/>
    </row>
    <row r="96" spans="2:9" s="9" customFormat="1" ht="21" customHeight="1" x14ac:dyDescent="0.25">
      <c r="B96" s="2"/>
      <c r="C96" s="2"/>
      <c r="D96" s="2"/>
      <c r="E96" s="2"/>
      <c r="F96" s="2"/>
      <c r="G96" s="2"/>
      <c r="I96" s="16"/>
    </row>
    <row r="97" spans="2:9" s="9" customFormat="1" ht="21" customHeight="1" x14ac:dyDescent="0.25">
      <c r="B97" s="2"/>
      <c r="C97" s="2"/>
      <c r="D97" s="2"/>
      <c r="E97" s="2"/>
      <c r="F97" s="2"/>
      <c r="G97" s="2"/>
      <c r="I97" s="16"/>
    </row>
    <row r="98" spans="2:9" s="9" customFormat="1" ht="21" customHeight="1" x14ac:dyDescent="0.25">
      <c r="B98" s="2"/>
      <c r="C98" s="2"/>
      <c r="D98" s="2"/>
      <c r="E98" s="2"/>
      <c r="F98" s="2"/>
      <c r="G98" s="2"/>
      <c r="I98" s="16"/>
    </row>
    <row r="99" spans="2:9" s="9" customFormat="1" ht="21" customHeight="1" x14ac:dyDescent="0.25">
      <c r="B99" s="2"/>
      <c r="C99" s="2"/>
      <c r="D99" s="2"/>
      <c r="E99" s="2"/>
      <c r="F99" s="2"/>
      <c r="G99" s="2"/>
      <c r="I99" s="16"/>
    </row>
    <row r="100" spans="2:9" s="9" customFormat="1" ht="21" customHeight="1" x14ac:dyDescent="0.25">
      <c r="B100" s="2"/>
      <c r="C100" s="2"/>
      <c r="D100" s="2"/>
      <c r="E100" s="2"/>
      <c r="F100" s="2"/>
      <c r="G100" s="2"/>
      <c r="I100" s="16"/>
    </row>
    <row r="101" spans="2:9" s="9" customFormat="1" ht="21" customHeight="1" x14ac:dyDescent="0.25">
      <c r="B101" s="2"/>
      <c r="C101" s="2"/>
      <c r="D101" s="2"/>
      <c r="E101" s="2"/>
      <c r="F101" s="2"/>
      <c r="G101" s="2"/>
      <c r="I101" s="16"/>
    </row>
    <row r="102" spans="2:9" s="9" customFormat="1" ht="21" customHeight="1" x14ac:dyDescent="0.25">
      <c r="B102" s="2"/>
      <c r="C102" s="2"/>
      <c r="D102" s="2"/>
      <c r="E102" s="2"/>
      <c r="F102" s="2"/>
      <c r="G102" s="2"/>
      <c r="I102" s="16"/>
    </row>
    <row r="103" spans="2:9" s="9" customFormat="1" ht="21" customHeight="1" x14ac:dyDescent="0.25">
      <c r="B103" s="2"/>
      <c r="C103" s="2"/>
      <c r="D103" s="2"/>
      <c r="E103" s="2"/>
      <c r="F103" s="2"/>
      <c r="G103" s="2"/>
      <c r="I103" s="16"/>
    </row>
    <row r="104" spans="2:9" s="9" customFormat="1" ht="21" customHeight="1" x14ac:dyDescent="0.25">
      <c r="B104" s="2"/>
      <c r="C104" s="2"/>
      <c r="D104" s="2"/>
      <c r="E104" s="2"/>
      <c r="F104" s="2"/>
      <c r="G104" s="2"/>
      <c r="I104" s="16"/>
    </row>
    <row r="105" spans="2:9" s="9" customFormat="1" ht="21" customHeight="1" x14ac:dyDescent="0.25">
      <c r="B105" s="2"/>
      <c r="C105" s="2"/>
      <c r="D105" s="2"/>
      <c r="E105" s="2"/>
      <c r="F105" s="2"/>
      <c r="G105" s="2"/>
      <c r="I105" s="16"/>
    </row>
    <row r="106" spans="2:9" s="9" customFormat="1" ht="21" customHeight="1" x14ac:dyDescent="0.25">
      <c r="B106" s="2"/>
      <c r="C106" s="2"/>
      <c r="D106" s="2"/>
      <c r="E106" s="2"/>
      <c r="F106" s="2"/>
      <c r="G106" s="2"/>
      <c r="I106" s="16"/>
    </row>
    <row r="107" spans="2:9" s="9" customFormat="1" ht="21" customHeight="1" x14ac:dyDescent="0.25">
      <c r="B107" s="2"/>
      <c r="C107" s="2"/>
      <c r="D107" s="2"/>
      <c r="E107" s="2"/>
      <c r="F107" s="2"/>
      <c r="G107" s="2"/>
      <c r="I107" s="16"/>
    </row>
    <row r="108" spans="2:9" s="9" customFormat="1" ht="21" customHeight="1" x14ac:dyDescent="0.25">
      <c r="B108" s="2"/>
      <c r="C108" s="2"/>
      <c r="D108" s="2"/>
      <c r="E108" s="2"/>
      <c r="F108" s="2"/>
      <c r="G108" s="2"/>
      <c r="I108" s="16"/>
    </row>
    <row r="109" spans="2:9" s="9" customFormat="1" ht="21" customHeight="1" x14ac:dyDescent="0.25">
      <c r="B109" s="2"/>
      <c r="C109" s="2"/>
      <c r="D109" s="2"/>
      <c r="E109" s="2"/>
      <c r="F109" s="2"/>
      <c r="G109" s="2"/>
      <c r="I109" s="16"/>
    </row>
    <row r="110" spans="2:9" s="9" customFormat="1" ht="21" customHeight="1" x14ac:dyDescent="0.25">
      <c r="B110" s="2"/>
      <c r="C110" s="2"/>
      <c r="D110" s="2"/>
      <c r="E110" s="2"/>
      <c r="F110" s="2"/>
      <c r="G110" s="2"/>
      <c r="I110" s="16"/>
    </row>
    <row r="111" spans="2:9" s="9" customFormat="1" ht="21" customHeight="1" x14ac:dyDescent="0.25">
      <c r="B111" s="2"/>
      <c r="C111" s="2"/>
      <c r="D111" s="2"/>
      <c r="E111" s="2"/>
      <c r="F111" s="2"/>
      <c r="G111" s="2"/>
      <c r="I111" s="16"/>
    </row>
    <row r="112" spans="2:9" s="9" customFormat="1" ht="21" customHeight="1" x14ac:dyDescent="0.25">
      <c r="B112" s="2"/>
      <c r="C112" s="2"/>
      <c r="D112" s="2"/>
      <c r="E112" s="2"/>
      <c r="F112" s="2"/>
      <c r="G112" s="2"/>
      <c r="I112" s="16"/>
    </row>
    <row r="113" spans="2:9" s="9" customFormat="1" ht="21" customHeight="1" x14ac:dyDescent="0.25">
      <c r="B113" s="2"/>
      <c r="C113" s="2"/>
      <c r="D113" s="2"/>
      <c r="E113" s="2"/>
      <c r="F113" s="2"/>
      <c r="G113" s="2"/>
      <c r="I113" s="16"/>
    </row>
    <row r="114" spans="2:9" s="9" customFormat="1" ht="21" customHeight="1" x14ac:dyDescent="0.25">
      <c r="B114" s="2"/>
      <c r="C114" s="2"/>
      <c r="D114" s="2"/>
      <c r="E114" s="2"/>
      <c r="F114" s="2"/>
      <c r="G114" s="2"/>
      <c r="I114" s="16"/>
    </row>
    <row r="115" spans="2:9" s="9" customFormat="1" ht="21" customHeight="1" x14ac:dyDescent="0.25">
      <c r="B115" s="2"/>
      <c r="C115" s="2"/>
      <c r="D115" s="2"/>
      <c r="E115" s="2"/>
      <c r="F115" s="2"/>
      <c r="G115" s="2"/>
      <c r="I115" s="16"/>
    </row>
    <row r="116" spans="2:9" s="9" customFormat="1" ht="21" customHeight="1" x14ac:dyDescent="0.25">
      <c r="B116" s="2"/>
      <c r="C116" s="2"/>
      <c r="D116" s="2"/>
      <c r="E116" s="2"/>
      <c r="F116" s="2"/>
      <c r="G116" s="2"/>
      <c r="I116" s="16"/>
    </row>
    <row r="117" spans="2:9" s="9" customFormat="1" ht="21" customHeight="1" x14ac:dyDescent="0.25">
      <c r="B117" s="2"/>
      <c r="C117" s="2"/>
      <c r="D117" s="2"/>
      <c r="E117" s="2"/>
      <c r="F117" s="2"/>
      <c r="G117" s="2"/>
      <c r="I117" s="16"/>
    </row>
    <row r="118" spans="2:9" s="9" customFormat="1" ht="21" customHeight="1" x14ac:dyDescent="0.25">
      <c r="B118" s="2"/>
      <c r="C118" s="2"/>
      <c r="D118" s="2"/>
      <c r="E118" s="2"/>
      <c r="F118" s="2"/>
      <c r="G118" s="2"/>
      <c r="I118" s="16"/>
    </row>
    <row r="119" spans="2:9" s="9" customFormat="1" ht="21" customHeight="1" x14ac:dyDescent="0.25">
      <c r="B119" s="2"/>
      <c r="C119" s="2"/>
      <c r="D119" s="2"/>
      <c r="E119" s="2"/>
      <c r="F119" s="2"/>
      <c r="G119" s="2"/>
      <c r="I119" s="16"/>
    </row>
    <row r="120" spans="2:9" s="9" customFormat="1" ht="21" customHeight="1" x14ac:dyDescent="0.25">
      <c r="B120" s="2"/>
      <c r="C120" s="2"/>
      <c r="D120" s="2"/>
      <c r="E120" s="2"/>
      <c r="F120" s="2"/>
      <c r="G120" s="2"/>
      <c r="I120" s="16"/>
    </row>
    <row r="121" spans="2:9" s="9" customFormat="1" ht="21" customHeight="1" x14ac:dyDescent="0.25">
      <c r="B121" s="2"/>
      <c r="C121" s="2"/>
      <c r="D121" s="2"/>
      <c r="E121" s="2"/>
      <c r="F121" s="2"/>
      <c r="G121" s="2"/>
      <c r="I121" s="16"/>
    </row>
    <row r="122" spans="2:9" s="9" customFormat="1" ht="21" customHeight="1" x14ac:dyDescent="0.25">
      <c r="B122" s="2"/>
      <c r="C122" s="2"/>
      <c r="D122" s="2"/>
      <c r="E122" s="2"/>
      <c r="F122" s="2"/>
      <c r="G122" s="2"/>
      <c r="I122" s="16"/>
    </row>
    <row r="123" spans="2:9" s="9" customFormat="1" ht="21" customHeight="1" x14ac:dyDescent="0.25">
      <c r="B123" s="2"/>
      <c r="C123" s="2"/>
      <c r="D123" s="2"/>
      <c r="E123" s="2"/>
      <c r="F123" s="2"/>
      <c r="G123" s="2"/>
      <c r="I123" s="16"/>
    </row>
    <row r="124" spans="2:9" s="9" customFormat="1" ht="21" customHeight="1" x14ac:dyDescent="0.25">
      <c r="B124" s="2"/>
      <c r="C124" s="2"/>
      <c r="D124" s="2"/>
      <c r="E124" s="2"/>
      <c r="F124" s="2"/>
      <c r="G124" s="2"/>
      <c r="I124" s="16"/>
    </row>
    <row r="125" spans="2:9" s="9" customFormat="1" ht="21" customHeight="1" x14ac:dyDescent="0.25">
      <c r="B125" s="2"/>
      <c r="C125" s="2"/>
      <c r="D125" s="2"/>
      <c r="E125" s="2"/>
      <c r="F125" s="2"/>
      <c r="G125" s="2"/>
      <c r="I125" s="16"/>
    </row>
    <row r="126" spans="2:9" s="9" customFormat="1" ht="21" customHeight="1" x14ac:dyDescent="0.25">
      <c r="B126" s="2"/>
      <c r="C126" s="2"/>
      <c r="D126" s="2"/>
      <c r="E126" s="2"/>
      <c r="F126" s="2"/>
      <c r="G126" s="2"/>
      <c r="I126" s="16"/>
    </row>
    <row r="127" spans="2:9" s="9" customFormat="1" ht="21" customHeight="1" x14ac:dyDescent="0.25">
      <c r="B127" s="2"/>
      <c r="C127" s="2"/>
      <c r="D127" s="2"/>
      <c r="E127" s="2"/>
      <c r="F127" s="2"/>
      <c r="G127" s="2"/>
      <c r="I127" s="16"/>
    </row>
    <row r="128" spans="2:9" s="9" customFormat="1" ht="21" customHeight="1" x14ac:dyDescent="0.25">
      <c r="B128" s="2"/>
      <c r="C128" s="2"/>
      <c r="D128" s="2"/>
      <c r="E128" s="2"/>
      <c r="F128" s="2"/>
      <c r="G128" s="2"/>
      <c r="I128" s="16"/>
    </row>
    <row r="129" spans="2:9" s="9" customFormat="1" ht="21" customHeight="1" x14ac:dyDescent="0.25">
      <c r="B129" s="2"/>
      <c r="C129" s="2"/>
      <c r="D129" s="2"/>
      <c r="E129" s="2"/>
      <c r="F129" s="2"/>
      <c r="G129" s="2"/>
      <c r="I129" s="16"/>
    </row>
    <row r="130" spans="2:9" s="9" customFormat="1" ht="21" customHeight="1" x14ac:dyDescent="0.25">
      <c r="B130" s="2"/>
      <c r="C130" s="2"/>
      <c r="D130" s="2"/>
      <c r="E130" s="2"/>
      <c r="F130" s="2"/>
      <c r="G130" s="2"/>
      <c r="I130" s="16"/>
    </row>
    <row r="131" spans="2:9" s="9" customFormat="1" ht="21" customHeight="1" x14ac:dyDescent="0.25">
      <c r="B131" s="2"/>
      <c r="C131" s="2"/>
      <c r="D131" s="2"/>
      <c r="E131" s="2"/>
      <c r="F131" s="2"/>
      <c r="G131" s="2"/>
      <c r="I131" s="16"/>
    </row>
    <row r="132" spans="2:9" s="9" customFormat="1" ht="21" customHeight="1" x14ac:dyDescent="0.25">
      <c r="B132" s="2"/>
      <c r="C132" s="2"/>
      <c r="D132" s="2"/>
      <c r="E132" s="2"/>
      <c r="F132" s="2"/>
      <c r="G132" s="2"/>
      <c r="I132" s="16"/>
    </row>
    <row r="133" spans="2:9" s="9" customFormat="1" ht="21" customHeight="1" x14ac:dyDescent="0.25">
      <c r="B133" s="2"/>
      <c r="C133" s="2"/>
      <c r="D133" s="2"/>
      <c r="E133" s="2"/>
      <c r="F133" s="2"/>
      <c r="G133" s="2"/>
      <c r="I133" s="16"/>
    </row>
    <row r="134" spans="2:9" s="9" customFormat="1" ht="21" customHeight="1" x14ac:dyDescent="0.25">
      <c r="B134" s="2"/>
      <c r="C134" s="2"/>
      <c r="D134" s="2"/>
      <c r="E134" s="2"/>
      <c r="F134" s="2"/>
      <c r="G134" s="2"/>
      <c r="I134" s="16"/>
    </row>
    <row r="135" spans="2:9" s="9" customFormat="1" ht="21" customHeight="1" x14ac:dyDescent="0.25">
      <c r="B135" s="2"/>
      <c r="C135" s="2"/>
      <c r="D135" s="2"/>
      <c r="E135" s="2"/>
      <c r="F135" s="2"/>
      <c r="G135" s="2"/>
      <c r="I135" s="16"/>
    </row>
    <row r="136" spans="2:9" s="9" customFormat="1" ht="21" customHeight="1" x14ac:dyDescent="0.25">
      <c r="B136" s="2"/>
      <c r="C136" s="2"/>
      <c r="D136" s="2"/>
      <c r="E136" s="2"/>
      <c r="F136" s="2"/>
      <c r="G136" s="2"/>
      <c r="I136" s="16"/>
    </row>
  </sheetData>
  <mergeCells count="19">
    <mergeCell ref="C30:E30"/>
    <mergeCell ref="F30:G30"/>
    <mergeCell ref="C20:D20"/>
    <mergeCell ref="C22:D22"/>
    <mergeCell ref="C29:D29"/>
    <mergeCell ref="E29:F29"/>
    <mergeCell ref="D14:G14"/>
    <mergeCell ref="D15:G15"/>
    <mergeCell ref="D16:G16"/>
    <mergeCell ref="B2:G2"/>
    <mergeCell ref="B3:G3"/>
    <mergeCell ref="B4:G4"/>
    <mergeCell ref="B12:G12"/>
    <mergeCell ref="B10:G10"/>
    <mergeCell ref="B8:C8"/>
    <mergeCell ref="B11:G11"/>
    <mergeCell ref="B13:G13"/>
    <mergeCell ref="B15:C15"/>
    <mergeCell ref="B16:C16"/>
  </mergeCells>
  <hyperlinks>
    <hyperlink ref="C18" r:id="rId1"/>
  </hyperlinks>
  <printOptions horizontalCentered="1" verticalCentered="1" gridLinesSet="0"/>
  <pageMargins left="0" right="0" top="0" bottom="0" header="0" footer="0"/>
  <pageSetup scale="70" firstPageNumber="6" orientation="portrait" blackAndWhite="1" horizontalDpi="1200" verticalDpi="1200" r:id="rId2"/>
  <headerFooter alignWithMargins="0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 codeName="Hoja4"/>
  <dimension ref="A1:R143"/>
  <sheetViews>
    <sheetView showGridLines="0" zoomScaleNormal="100" workbookViewId="0">
      <selection activeCell="A13" sqref="A13"/>
    </sheetView>
  </sheetViews>
  <sheetFormatPr baseColWidth="10" defaultColWidth="17" defaultRowHeight="43.5" customHeight="1" x14ac:dyDescent="0.2"/>
  <cols>
    <col min="1" max="1" width="17" style="15"/>
    <col min="2" max="7" width="17" style="2"/>
    <col min="8" max="8" width="17" style="15"/>
    <col min="9" max="9" width="17" style="59"/>
    <col min="10" max="16384" width="17" style="15"/>
  </cols>
  <sheetData>
    <row r="1" spans="1:18" s="10" customFormat="1" ht="43.5" customHeight="1" x14ac:dyDescent="0.2">
      <c r="G1" s="103" t="s">
        <v>49</v>
      </c>
    </row>
    <row r="2" spans="1:18" s="13" customFormat="1" ht="43.5" customHeight="1" x14ac:dyDescent="0.25">
      <c r="B2" s="867" t="s">
        <v>0</v>
      </c>
      <c r="C2" s="868"/>
      <c r="D2" s="868"/>
      <c r="E2" s="868"/>
      <c r="F2" s="868"/>
      <c r="G2" s="869"/>
      <c r="H2" s="10"/>
      <c r="I2" s="817"/>
      <c r="J2" s="817"/>
      <c r="K2" s="817"/>
      <c r="L2" s="817"/>
      <c r="M2" s="817"/>
      <c r="N2" s="817"/>
      <c r="O2" s="20"/>
      <c r="P2" s="20"/>
      <c r="Q2" s="20"/>
      <c r="R2" s="20"/>
    </row>
    <row r="3" spans="1:18" s="24" customFormat="1" ht="43.5" customHeight="1" x14ac:dyDescent="0.25">
      <c r="A3" s="21"/>
      <c r="B3" s="855" t="s">
        <v>60</v>
      </c>
      <c r="C3" s="821"/>
      <c r="D3" s="821"/>
      <c r="E3" s="821"/>
      <c r="F3" s="821"/>
      <c r="G3" s="856"/>
      <c r="H3" s="22"/>
      <c r="I3" s="818"/>
      <c r="J3" s="23"/>
      <c r="K3" s="23"/>
      <c r="L3" s="23"/>
      <c r="M3" s="23"/>
      <c r="N3" s="23"/>
      <c r="O3" s="20"/>
      <c r="P3" s="20"/>
      <c r="Q3" s="20"/>
      <c r="R3" s="21"/>
    </row>
    <row r="4" spans="1:18" s="13" customFormat="1" ht="43.5" customHeight="1" x14ac:dyDescent="0.25">
      <c r="B4" s="845" t="str">
        <f>'VENC. '!$B$4</f>
        <v>AL 31 DE JULIO  DE 2024</v>
      </c>
      <c r="C4" s="846"/>
      <c r="D4" s="846"/>
      <c r="E4" s="846"/>
      <c r="F4" s="846"/>
      <c r="G4" s="857"/>
      <c r="H4" s="25"/>
      <c r="I4" s="818"/>
      <c r="J4" s="4"/>
      <c r="K4" s="4"/>
      <c r="L4" s="19"/>
      <c r="M4" s="19"/>
      <c r="N4" s="108"/>
      <c r="O4" s="20"/>
      <c r="P4" s="20"/>
      <c r="Q4" s="20"/>
      <c r="R4" s="20"/>
    </row>
    <row r="5" spans="1:18" s="13" customFormat="1" ht="43.5" customHeight="1" x14ac:dyDescent="0.25">
      <c r="B5" s="105"/>
      <c r="C5" s="106"/>
      <c r="D5" s="106"/>
      <c r="E5" s="106"/>
      <c r="F5" s="106"/>
      <c r="G5" s="107"/>
      <c r="H5" s="25"/>
      <c r="I5" s="104"/>
      <c r="J5" s="4"/>
      <c r="K5" s="4"/>
      <c r="L5" s="19"/>
      <c r="M5" s="19"/>
      <c r="N5" s="108"/>
      <c r="O5" s="20"/>
      <c r="P5" s="20"/>
      <c r="Q5" s="20"/>
      <c r="R5" s="20"/>
    </row>
    <row r="6" spans="1:18" s="48" customFormat="1" ht="43.5" customHeight="1" x14ac:dyDescent="0.25">
      <c r="B6" s="60" t="s">
        <v>1</v>
      </c>
      <c r="C6" s="61" t="s">
        <v>61</v>
      </c>
      <c r="D6" s="62"/>
      <c r="E6" s="61" t="s">
        <v>2</v>
      </c>
      <c r="F6" s="60" t="s">
        <v>29</v>
      </c>
      <c r="G6" s="60" t="s">
        <v>3</v>
      </c>
      <c r="I6" s="53"/>
    </row>
    <row r="7" spans="1:18" s="8" customFormat="1" ht="43.5" customHeight="1" x14ac:dyDescent="0.25">
      <c r="A7" s="110"/>
      <c r="B7" s="109"/>
      <c r="C7" s="10"/>
      <c r="D7" s="31" t="s">
        <v>4</v>
      </c>
      <c r="E7" s="63"/>
      <c r="F7" s="382">
        <f>SUM(F8:F10)</f>
        <v>0</v>
      </c>
      <c r="G7" s="64"/>
      <c r="H7" s="55"/>
      <c r="I7" s="6"/>
    </row>
    <row r="8" spans="1:18" s="8" customFormat="1" ht="43.5" customHeight="1" x14ac:dyDescent="0.25">
      <c r="B8" s="206"/>
      <c r="C8" s="144"/>
      <c r="D8" s="144"/>
      <c r="E8" s="380"/>
      <c r="F8" s="146"/>
      <c r="G8" s="381"/>
      <c r="H8" s="111"/>
      <c r="I8" s="111"/>
    </row>
    <row r="9" spans="1:18" s="8" customFormat="1" ht="43.5" customHeight="1" x14ac:dyDescent="0.25">
      <c r="B9" s="206"/>
      <c r="C9" s="144"/>
      <c r="D9" s="144"/>
      <c r="E9" s="380"/>
      <c r="F9" s="146"/>
      <c r="G9" s="381"/>
      <c r="H9" s="111"/>
      <c r="I9" s="111"/>
    </row>
    <row r="10" spans="1:18" s="8" customFormat="1" ht="43.5" customHeight="1" x14ac:dyDescent="0.25">
      <c r="B10" s="206"/>
      <c r="C10" s="144"/>
      <c r="D10" s="144"/>
      <c r="E10" s="380"/>
      <c r="F10" s="146"/>
      <c r="G10" s="381"/>
      <c r="H10" s="111"/>
      <c r="I10" s="111"/>
    </row>
    <row r="11" spans="1:18" s="1" customFormat="1" ht="42.75" customHeight="1" x14ac:dyDescent="0.25">
      <c r="B11" s="870" t="s">
        <v>52</v>
      </c>
      <c r="C11" s="871"/>
      <c r="D11" s="871"/>
      <c r="E11" s="871"/>
      <c r="F11" s="871"/>
      <c r="G11" s="872"/>
      <c r="I11" s="3"/>
    </row>
    <row r="12" spans="1:18" s="57" customFormat="1" ht="43.5" customHeight="1" x14ac:dyDescent="0.25">
      <c r="A12" s="112"/>
      <c r="B12" s="864"/>
      <c r="C12" s="865"/>
      <c r="D12" s="118"/>
      <c r="E12" s="866" t="s">
        <v>53</v>
      </c>
      <c r="F12" s="866"/>
      <c r="G12" s="383">
        <v>3</v>
      </c>
      <c r="I12" s="58"/>
    </row>
    <row r="13" spans="1:18" s="19" customFormat="1" ht="23.25" customHeight="1" x14ac:dyDescent="0.2">
      <c r="B13" s="861"/>
      <c r="C13" s="862"/>
      <c r="D13" s="862"/>
      <c r="E13" s="862"/>
      <c r="F13" s="862"/>
      <c r="G13" s="863"/>
    </row>
    <row r="14" spans="1:18" s="2" customFormat="1" ht="20.25" customHeight="1" x14ac:dyDescent="0.2">
      <c r="B14" s="858">
        <f>'VENC. '!$B$274</f>
        <v>45504</v>
      </c>
      <c r="C14" s="859"/>
      <c r="D14" s="859"/>
      <c r="E14" s="859"/>
      <c r="F14" s="859"/>
      <c r="G14" s="860"/>
      <c r="I14" s="33"/>
    </row>
    <row r="15" spans="1:18" s="10" customFormat="1" ht="43.5" customHeight="1" x14ac:dyDescent="0.25">
      <c r="B15" s="4"/>
      <c r="I15" s="4"/>
    </row>
    <row r="16" spans="1:18" s="2" customFormat="1" ht="43.5" customHeight="1" x14ac:dyDescent="0.2">
      <c r="I16" s="33"/>
    </row>
    <row r="17" spans="2:9" s="1" customFormat="1" ht="43.5" customHeight="1" x14ac:dyDescent="0.25">
      <c r="B17" s="2"/>
      <c r="C17" s="2"/>
      <c r="D17" s="2"/>
      <c r="E17" s="2"/>
      <c r="F17" s="2"/>
      <c r="G17" s="2"/>
      <c r="I17" s="3"/>
    </row>
    <row r="18" spans="2:9" s="1" customFormat="1" ht="43.5" customHeight="1" x14ac:dyDescent="0.25">
      <c r="B18" s="2"/>
      <c r="C18" s="2"/>
      <c r="D18" s="2"/>
      <c r="E18" s="2"/>
      <c r="F18" s="2"/>
      <c r="G18" s="2"/>
      <c r="I18" s="3"/>
    </row>
    <row r="19" spans="2:9" s="1" customFormat="1" ht="43.5" customHeight="1" x14ac:dyDescent="0.25">
      <c r="B19" s="2"/>
      <c r="C19" s="2"/>
      <c r="D19" s="2"/>
      <c r="E19" s="854"/>
      <c r="F19" s="854"/>
      <c r="G19" s="2"/>
      <c r="I19" s="3"/>
    </row>
    <row r="20" spans="2:9" s="9" customFormat="1" ht="43.5" customHeight="1" x14ac:dyDescent="0.25">
      <c r="B20" s="2"/>
      <c r="C20" s="2"/>
      <c r="D20" s="2"/>
      <c r="E20" s="837"/>
      <c r="F20" s="837"/>
      <c r="G20" s="2"/>
      <c r="I20" s="16"/>
    </row>
    <row r="21" spans="2:9" s="9" customFormat="1" ht="43.5" customHeight="1" x14ac:dyDescent="0.25">
      <c r="B21" s="2"/>
      <c r="C21" s="2"/>
      <c r="D21" s="2"/>
      <c r="E21" s="837">
        <v>0</v>
      </c>
      <c r="F21" s="837"/>
      <c r="G21" s="2"/>
      <c r="I21" s="16"/>
    </row>
    <row r="22" spans="2:9" s="9" customFormat="1" ht="43.5" customHeight="1" x14ac:dyDescent="0.25">
      <c r="B22" s="2"/>
      <c r="C22" s="2"/>
      <c r="D22" s="2"/>
      <c r="E22" s="2"/>
      <c r="F22" s="2"/>
      <c r="G22" s="2"/>
      <c r="I22" s="16"/>
    </row>
    <row r="23" spans="2:9" s="9" customFormat="1" ht="43.5" customHeight="1" x14ac:dyDescent="0.25">
      <c r="B23" s="2"/>
      <c r="C23" s="2"/>
      <c r="D23" s="2"/>
      <c r="E23" s="2"/>
      <c r="F23" s="2"/>
      <c r="G23" s="2"/>
      <c r="I23" s="16"/>
    </row>
    <row r="24" spans="2:9" s="9" customFormat="1" ht="43.5" customHeight="1" x14ac:dyDescent="0.25">
      <c r="B24" s="2"/>
      <c r="C24" s="2"/>
      <c r="D24" s="2"/>
      <c r="E24" s="2"/>
      <c r="F24" s="2"/>
      <c r="G24" s="2"/>
      <c r="I24" s="16"/>
    </row>
    <row r="25" spans="2:9" s="9" customFormat="1" ht="43.5" customHeight="1" x14ac:dyDescent="0.25">
      <c r="B25" s="2"/>
      <c r="C25" s="2"/>
      <c r="D25" s="2"/>
      <c r="E25" s="2"/>
      <c r="F25" s="2"/>
      <c r="G25" s="2"/>
      <c r="I25" s="16"/>
    </row>
    <row r="26" spans="2:9" s="9" customFormat="1" ht="43.5" customHeight="1" x14ac:dyDescent="0.25">
      <c r="B26" s="2"/>
      <c r="C26" s="2"/>
      <c r="D26" s="2"/>
      <c r="E26" s="2"/>
      <c r="F26" s="2"/>
      <c r="G26" s="2"/>
      <c r="I26" s="16"/>
    </row>
    <row r="27" spans="2:9" s="9" customFormat="1" ht="43.5" customHeight="1" x14ac:dyDescent="0.25">
      <c r="B27" s="2"/>
      <c r="C27" s="852"/>
      <c r="D27" s="852"/>
      <c r="E27" s="2"/>
      <c r="F27" s="2"/>
      <c r="G27" s="2"/>
      <c r="I27" s="16"/>
    </row>
    <row r="28" spans="2:9" s="9" customFormat="1" ht="43.5" customHeight="1" x14ac:dyDescent="0.25">
      <c r="B28" s="2"/>
      <c r="C28" s="2"/>
      <c r="D28" s="2"/>
      <c r="E28" s="2"/>
      <c r="F28" s="2"/>
      <c r="G28" s="2"/>
      <c r="I28" s="16"/>
    </row>
    <row r="29" spans="2:9" s="9" customFormat="1" ht="43.5" customHeight="1" x14ac:dyDescent="0.25">
      <c r="B29" s="2"/>
      <c r="C29" s="853"/>
      <c r="D29" s="853"/>
      <c r="E29" s="2"/>
      <c r="F29" s="2"/>
      <c r="G29" s="2"/>
      <c r="I29" s="16"/>
    </row>
    <row r="30" spans="2:9" s="9" customFormat="1" ht="43.5" customHeight="1" x14ac:dyDescent="0.25">
      <c r="B30" s="2"/>
      <c r="C30" s="2"/>
      <c r="D30" s="2"/>
      <c r="E30" s="2"/>
      <c r="F30" s="2"/>
      <c r="G30" s="2"/>
      <c r="I30" s="16"/>
    </row>
    <row r="31" spans="2:9" s="9" customFormat="1" ht="43.5" customHeight="1" x14ac:dyDescent="0.25">
      <c r="B31" s="2"/>
      <c r="C31" s="2"/>
      <c r="D31" s="2"/>
      <c r="E31" s="2"/>
      <c r="F31" s="2"/>
      <c r="G31" s="2"/>
      <c r="I31" s="16"/>
    </row>
    <row r="32" spans="2:9" s="9" customFormat="1" ht="43.5" customHeight="1" x14ac:dyDescent="0.25">
      <c r="B32" s="2"/>
      <c r="C32" s="2"/>
      <c r="D32" s="2"/>
      <c r="E32" s="2"/>
      <c r="F32" s="2"/>
      <c r="G32" s="2"/>
      <c r="I32" s="16"/>
    </row>
    <row r="33" spans="2:9" s="9" customFormat="1" ht="43.5" customHeight="1" x14ac:dyDescent="0.25">
      <c r="B33" s="2"/>
      <c r="C33" s="2"/>
      <c r="D33" s="2"/>
      <c r="E33" s="2"/>
      <c r="F33" s="2"/>
      <c r="G33" s="2"/>
      <c r="I33" s="16"/>
    </row>
    <row r="34" spans="2:9" s="9" customFormat="1" ht="43.5" customHeight="1" x14ac:dyDescent="0.25">
      <c r="B34" s="2"/>
      <c r="C34" s="2"/>
      <c r="D34" s="2"/>
      <c r="E34" s="2"/>
      <c r="F34" s="2"/>
      <c r="G34" s="2"/>
      <c r="I34" s="16"/>
    </row>
    <row r="35" spans="2:9" s="9" customFormat="1" ht="43.5" customHeight="1" x14ac:dyDescent="0.25">
      <c r="B35" s="2"/>
      <c r="C35" s="2"/>
      <c r="D35" s="2"/>
      <c r="E35" s="2"/>
      <c r="F35" s="2"/>
      <c r="G35" s="2"/>
      <c r="I35" s="16"/>
    </row>
    <row r="36" spans="2:9" s="9" customFormat="1" ht="43.5" customHeight="1" x14ac:dyDescent="0.25">
      <c r="B36" s="2"/>
      <c r="C36" s="854"/>
      <c r="D36" s="854"/>
      <c r="E36" s="854"/>
      <c r="F36" s="854"/>
      <c r="G36" s="2"/>
      <c r="I36" s="16"/>
    </row>
    <row r="37" spans="2:9" s="9" customFormat="1" ht="43.5" customHeight="1" x14ac:dyDescent="0.25">
      <c r="B37" s="2"/>
      <c r="C37" s="852"/>
      <c r="D37" s="852"/>
      <c r="E37" s="852"/>
      <c r="F37" s="852"/>
      <c r="G37" s="852"/>
      <c r="I37" s="16"/>
    </row>
    <row r="38" spans="2:9" s="9" customFormat="1" ht="43.5" customHeight="1" x14ac:dyDescent="0.25">
      <c r="B38" s="2"/>
      <c r="C38" s="2"/>
      <c r="D38" s="2"/>
      <c r="E38" s="2"/>
      <c r="F38" s="2"/>
      <c r="G38" s="2"/>
      <c r="I38" s="16"/>
    </row>
    <row r="39" spans="2:9" s="9" customFormat="1" ht="43.5" customHeight="1" x14ac:dyDescent="0.25">
      <c r="B39" s="2"/>
      <c r="C39" s="2"/>
      <c r="D39" s="2"/>
      <c r="E39" s="2"/>
      <c r="F39" s="2"/>
      <c r="G39" s="2"/>
      <c r="I39" s="16"/>
    </row>
    <row r="40" spans="2:9" s="9" customFormat="1" ht="43.5" customHeight="1" x14ac:dyDescent="0.25">
      <c r="B40" s="2"/>
      <c r="C40" s="2"/>
      <c r="D40" s="2"/>
      <c r="E40" s="2"/>
      <c r="F40" s="2"/>
      <c r="G40" s="2"/>
      <c r="I40" s="16"/>
    </row>
    <row r="41" spans="2:9" s="9" customFormat="1" ht="43.5" customHeight="1" x14ac:dyDescent="0.25">
      <c r="B41" s="2"/>
      <c r="C41" s="2"/>
      <c r="D41" s="2"/>
      <c r="E41" s="2"/>
      <c r="F41" s="2"/>
      <c r="G41" s="2"/>
      <c r="I41" s="16"/>
    </row>
    <row r="42" spans="2:9" s="9" customFormat="1" ht="43.5" customHeight="1" x14ac:dyDescent="0.25">
      <c r="B42" s="2"/>
      <c r="C42" s="2"/>
      <c r="D42" s="2"/>
      <c r="E42" s="2"/>
      <c r="F42" s="2"/>
      <c r="G42" s="2"/>
      <c r="I42" s="16"/>
    </row>
    <row r="43" spans="2:9" s="9" customFormat="1" ht="43.5" customHeight="1" x14ac:dyDescent="0.25">
      <c r="B43" s="2"/>
      <c r="C43" s="2"/>
      <c r="D43" s="2"/>
      <c r="E43" s="2"/>
      <c r="F43" s="2"/>
      <c r="G43" s="2"/>
      <c r="I43" s="16"/>
    </row>
    <row r="44" spans="2:9" s="9" customFormat="1" ht="43.5" customHeight="1" x14ac:dyDescent="0.25">
      <c r="B44" s="2"/>
      <c r="C44" s="2"/>
      <c r="D44" s="2"/>
      <c r="E44" s="2"/>
      <c r="F44" s="2"/>
      <c r="G44" s="2"/>
      <c r="I44" s="16"/>
    </row>
    <row r="45" spans="2:9" s="9" customFormat="1" ht="43.5" customHeight="1" x14ac:dyDescent="0.25">
      <c r="B45" s="2"/>
      <c r="C45" s="2"/>
      <c r="D45" s="2"/>
      <c r="E45" s="2"/>
      <c r="F45" s="2"/>
      <c r="G45" s="2"/>
      <c r="I45" s="16"/>
    </row>
    <row r="46" spans="2:9" s="9" customFormat="1" ht="43.5" customHeight="1" x14ac:dyDescent="0.25">
      <c r="B46" s="2"/>
      <c r="C46" s="2"/>
      <c r="D46" s="2"/>
      <c r="E46" s="2"/>
      <c r="F46" s="2"/>
      <c r="G46" s="2"/>
      <c r="I46" s="16"/>
    </row>
    <row r="47" spans="2:9" s="9" customFormat="1" ht="43.5" customHeight="1" x14ac:dyDescent="0.25">
      <c r="B47" s="2"/>
      <c r="C47" s="2"/>
      <c r="D47" s="2"/>
      <c r="E47" s="2"/>
      <c r="F47" s="2"/>
      <c r="G47" s="2"/>
      <c r="I47" s="16"/>
    </row>
    <row r="48" spans="2:9" s="9" customFormat="1" ht="43.5" customHeight="1" x14ac:dyDescent="0.25">
      <c r="B48" s="2"/>
      <c r="C48" s="2"/>
      <c r="D48" s="2"/>
      <c r="E48" s="2"/>
      <c r="F48" s="2"/>
      <c r="G48" s="2"/>
      <c r="I48" s="16"/>
    </row>
    <row r="49" spans="2:9" s="9" customFormat="1" ht="43.5" customHeight="1" x14ac:dyDescent="0.25">
      <c r="B49" s="2"/>
      <c r="C49" s="2"/>
      <c r="D49" s="2"/>
      <c r="E49" s="2"/>
      <c r="F49" s="2"/>
      <c r="G49" s="2"/>
      <c r="I49" s="16"/>
    </row>
    <row r="50" spans="2:9" s="9" customFormat="1" ht="43.5" customHeight="1" x14ac:dyDescent="0.25">
      <c r="B50" s="2"/>
      <c r="C50" s="2"/>
      <c r="D50" s="2"/>
      <c r="E50" s="2"/>
      <c r="F50" s="2"/>
      <c r="G50" s="2"/>
      <c r="I50" s="16"/>
    </row>
    <row r="51" spans="2:9" s="9" customFormat="1" ht="43.5" customHeight="1" x14ac:dyDescent="0.25">
      <c r="B51" s="2"/>
      <c r="C51" s="2"/>
      <c r="D51" s="2"/>
      <c r="E51" s="2"/>
      <c r="F51" s="2"/>
      <c r="G51" s="2"/>
      <c r="I51" s="16"/>
    </row>
    <row r="52" spans="2:9" s="9" customFormat="1" ht="43.5" customHeight="1" x14ac:dyDescent="0.25">
      <c r="B52" s="2"/>
      <c r="C52" s="2"/>
      <c r="D52" s="2"/>
      <c r="E52" s="2"/>
      <c r="F52" s="2"/>
      <c r="G52" s="2"/>
      <c r="I52" s="16"/>
    </row>
    <row r="53" spans="2:9" s="9" customFormat="1" ht="43.5" customHeight="1" x14ac:dyDescent="0.25">
      <c r="B53" s="2"/>
      <c r="C53" s="2"/>
      <c r="D53" s="2"/>
      <c r="E53" s="2"/>
      <c r="F53" s="2"/>
      <c r="G53" s="2"/>
      <c r="I53" s="16"/>
    </row>
    <row r="54" spans="2:9" s="9" customFormat="1" ht="43.5" customHeight="1" x14ac:dyDescent="0.25">
      <c r="B54" s="2"/>
      <c r="C54" s="2"/>
      <c r="D54" s="2"/>
      <c r="E54" s="2"/>
      <c r="F54" s="2"/>
      <c r="G54" s="2"/>
      <c r="I54" s="16"/>
    </row>
    <row r="55" spans="2:9" s="9" customFormat="1" ht="43.5" customHeight="1" x14ac:dyDescent="0.25">
      <c r="B55" s="2"/>
      <c r="C55" s="2"/>
      <c r="D55" s="2"/>
      <c r="E55" s="2"/>
      <c r="F55" s="2"/>
      <c r="G55" s="2"/>
      <c r="I55" s="16"/>
    </row>
    <row r="56" spans="2:9" s="9" customFormat="1" ht="43.5" customHeight="1" x14ac:dyDescent="0.25">
      <c r="B56" s="2"/>
      <c r="C56" s="2"/>
      <c r="D56" s="2"/>
      <c r="E56" s="2"/>
      <c r="F56" s="2"/>
      <c r="G56" s="2"/>
      <c r="I56" s="16"/>
    </row>
    <row r="57" spans="2:9" s="9" customFormat="1" ht="43.5" customHeight="1" x14ac:dyDescent="0.25">
      <c r="B57" s="2"/>
      <c r="C57" s="2"/>
      <c r="D57" s="2"/>
      <c r="E57" s="2"/>
      <c r="F57" s="2"/>
      <c r="G57" s="2"/>
      <c r="I57" s="16"/>
    </row>
    <row r="58" spans="2:9" s="9" customFormat="1" ht="43.5" customHeight="1" x14ac:dyDescent="0.25">
      <c r="B58" s="2"/>
      <c r="C58" s="2"/>
      <c r="D58" s="2"/>
      <c r="E58" s="2"/>
      <c r="F58" s="2"/>
      <c r="G58" s="2"/>
      <c r="I58" s="16"/>
    </row>
    <row r="59" spans="2:9" s="9" customFormat="1" ht="43.5" customHeight="1" x14ac:dyDescent="0.25">
      <c r="B59" s="2"/>
      <c r="C59" s="2"/>
      <c r="D59" s="2"/>
      <c r="E59" s="2"/>
      <c r="F59" s="2"/>
      <c r="G59" s="2"/>
      <c r="I59" s="16"/>
    </row>
    <row r="60" spans="2:9" s="9" customFormat="1" ht="43.5" customHeight="1" x14ac:dyDescent="0.25">
      <c r="B60" s="2"/>
      <c r="C60" s="2"/>
      <c r="D60" s="2"/>
      <c r="E60" s="2"/>
      <c r="F60" s="2"/>
      <c r="G60" s="2"/>
      <c r="I60" s="16"/>
    </row>
    <row r="61" spans="2:9" s="9" customFormat="1" ht="43.5" customHeight="1" x14ac:dyDescent="0.25">
      <c r="B61" s="2"/>
      <c r="C61" s="2"/>
      <c r="D61" s="2"/>
      <c r="E61" s="2"/>
      <c r="F61" s="2"/>
      <c r="G61" s="2"/>
      <c r="I61" s="16"/>
    </row>
    <row r="62" spans="2:9" s="9" customFormat="1" ht="43.5" customHeight="1" x14ac:dyDescent="0.25">
      <c r="B62" s="2"/>
      <c r="C62" s="2"/>
      <c r="D62" s="2"/>
      <c r="E62" s="2"/>
      <c r="F62" s="2"/>
      <c r="G62" s="2"/>
      <c r="I62" s="16"/>
    </row>
    <row r="63" spans="2:9" s="9" customFormat="1" ht="43.5" customHeight="1" x14ac:dyDescent="0.25">
      <c r="B63" s="2"/>
      <c r="C63" s="2"/>
      <c r="D63" s="2"/>
      <c r="E63" s="2"/>
      <c r="F63" s="2"/>
      <c r="G63" s="2"/>
      <c r="I63" s="16"/>
    </row>
    <row r="64" spans="2:9" s="9" customFormat="1" ht="43.5" customHeight="1" x14ac:dyDescent="0.25">
      <c r="B64" s="2"/>
      <c r="C64" s="2"/>
      <c r="D64" s="2"/>
      <c r="E64" s="2"/>
      <c r="F64" s="2"/>
      <c r="G64" s="2"/>
      <c r="I64" s="16"/>
    </row>
    <row r="65" spans="2:9" s="9" customFormat="1" ht="43.5" customHeight="1" x14ac:dyDescent="0.25">
      <c r="B65" s="2"/>
      <c r="C65" s="2"/>
      <c r="D65" s="2"/>
      <c r="E65" s="2"/>
      <c r="F65" s="2"/>
      <c r="G65" s="2"/>
      <c r="I65" s="16"/>
    </row>
    <row r="66" spans="2:9" s="9" customFormat="1" ht="43.5" customHeight="1" x14ac:dyDescent="0.25">
      <c r="B66" s="2"/>
      <c r="C66" s="2"/>
      <c r="D66" s="2"/>
      <c r="E66" s="2"/>
      <c r="F66" s="2"/>
      <c r="G66" s="2"/>
      <c r="I66" s="16"/>
    </row>
    <row r="67" spans="2:9" s="9" customFormat="1" ht="43.5" customHeight="1" x14ac:dyDescent="0.25">
      <c r="B67" s="2"/>
      <c r="C67" s="2"/>
      <c r="D67" s="2"/>
      <c r="E67" s="2"/>
      <c r="F67" s="2"/>
      <c r="G67" s="2"/>
      <c r="I67" s="16"/>
    </row>
    <row r="68" spans="2:9" s="9" customFormat="1" ht="43.5" customHeight="1" x14ac:dyDescent="0.25">
      <c r="B68" s="2"/>
      <c r="C68" s="2"/>
      <c r="D68" s="2"/>
      <c r="E68" s="2"/>
      <c r="F68" s="2"/>
      <c r="G68" s="2"/>
      <c r="I68" s="16"/>
    </row>
    <row r="69" spans="2:9" s="9" customFormat="1" ht="43.5" customHeight="1" x14ac:dyDescent="0.25">
      <c r="B69" s="2"/>
      <c r="C69" s="2"/>
      <c r="D69" s="2"/>
      <c r="E69" s="2"/>
      <c r="F69" s="2"/>
      <c r="G69" s="2"/>
      <c r="I69" s="16"/>
    </row>
    <row r="70" spans="2:9" s="9" customFormat="1" ht="43.5" customHeight="1" x14ac:dyDescent="0.25">
      <c r="B70" s="2"/>
      <c r="C70" s="2"/>
      <c r="D70" s="2"/>
      <c r="E70" s="2"/>
      <c r="F70" s="2"/>
      <c r="G70" s="2"/>
      <c r="I70" s="16"/>
    </row>
    <row r="71" spans="2:9" s="9" customFormat="1" ht="43.5" customHeight="1" x14ac:dyDescent="0.25">
      <c r="B71" s="2"/>
      <c r="C71" s="2"/>
      <c r="D71" s="2"/>
      <c r="E71" s="2"/>
      <c r="F71" s="2"/>
      <c r="G71" s="2"/>
      <c r="I71" s="16"/>
    </row>
    <row r="72" spans="2:9" s="9" customFormat="1" ht="43.5" customHeight="1" x14ac:dyDescent="0.25">
      <c r="B72" s="2"/>
      <c r="C72" s="2"/>
      <c r="D72" s="2"/>
      <c r="E72" s="2"/>
      <c r="F72" s="2"/>
      <c r="G72" s="2"/>
      <c r="I72" s="16"/>
    </row>
    <row r="73" spans="2:9" s="9" customFormat="1" ht="43.5" customHeight="1" x14ac:dyDescent="0.25">
      <c r="B73" s="2"/>
      <c r="C73" s="2"/>
      <c r="D73" s="2"/>
      <c r="E73" s="2"/>
      <c r="F73" s="2"/>
      <c r="G73" s="2"/>
      <c r="I73" s="16"/>
    </row>
    <row r="74" spans="2:9" s="9" customFormat="1" ht="43.5" customHeight="1" x14ac:dyDescent="0.25">
      <c r="B74" s="2"/>
      <c r="C74" s="2"/>
      <c r="D74" s="2"/>
      <c r="E74" s="2"/>
      <c r="F74" s="2"/>
      <c r="G74" s="2"/>
      <c r="I74" s="16"/>
    </row>
    <row r="75" spans="2:9" s="9" customFormat="1" ht="43.5" customHeight="1" x14ac:dyDescent="0.25">
      <c r="B75" s="2"/>
      <c r="C75" s="2"/>
      <c r="D75" s="2"/>
      <c r="E75" s="2"/>
      <c r="F75" s="2"/>
      <c r="G75" s="2"/>
      <c r="I75" s="16"/>
    </row>
    <row r="76" spans="2:9" s="9" customFormat="1" ht="43.5" customHeight="1" x14ac:dyDescent="0.25">
      <c r="B76" s="2"/>
      <c r="C76" s="2"/>
      <c r="D76" s="2"/>
      <c r="E76" s="2"/>
      <c r="F76" s="2"/>
      <c r="G76" s="2"/>
      <c r="I76" s="16"/>
    </row>
    <row r="77" spans="2:9" s="9" customFormat="1" ht="43.5" customHeight="1" x14ac:dyDescent="0.25">
      <c r="B77" s="2"/>
      <c r="C77" s="2"/>
      <c r="D77" s="2"/>
      <c r="E77" s="2"/>
      <c r="F77" s="2"/>
      <c r="G77" s="2"/>
      <c r="I77" s="16"/>
    </row>
    <row r="78" spans="2:9" s="9" customFormat="1" ht="43.5" customHeight="1" x14ac:dyDescent="0.25">
      <c r="B78" s="2"/>
      <c r="C78" s="2"/>
      <c r="D78" s="2"/>
      <c r="E78" s="2"/>
      <c r="F78" s="2"/>
      <c r="G78" s="2"/>
      <c r="I78" s="16"/>
    </row>
    <row r="79" spans="2:9" s="9" customFormat="1" ht="43.5" customHeight="1" x14ac:dyDescent="0.25">
      <c r="B79" s="2"/>
      <c r="C79" s="2"/>
      <c r="D79" s="2"/>
      <c r="E79" s="2"/>
      <c r="F79" s="2"/>
      <c r="G79" s="2"/>
      <c r="I79" s="16"/>
    </row>
    <row r="80" spans="2:9" s="9" customFormat="1" ht="43.5" customHeight="1" x14ac:dyDescent="0.25">
      <c r="B80" s="2"/>
      <c r="C80" s="2"/>
      <c r="D80" s="2"/>
      <c r="E80" s="2"/>
      <c r="F80" s="2"/>
      <c r="G80" s="2"/>
      <c r="I80" s="16"/>
    </row>
    <row r="81" spans="2:9" s="9" customFormat="1" ht="43.5" customHeight="1" x14ac:dyDescent="0.25">
      <c r="B81" s="2"/>
      <c r="C81" s="2"/>
      <c r="D81" s="2"/>
      <c r="E81" s="2"/>
      <c r="F81" s="2"/>
      <c r="G81" s="2"/>
      <c r="I81" s="16"/>
    </row>
    <row r="82" spans="2:9" s="9" customFormat="1" ht="43.5" customHeight="1" x14ac:dyDescent="0.25">
      <c r="B82" s="2"/>
      <c r="C82" s="2"/>
      <c r="D82" s="2"/>
      <c r="E82" s="2"/>
      <c r="F82" s="2"/>
      <c r="G82" s="2"/>
      <c r="I82" s="16"/>
    </row>
    <row r="83" spans="2:9" s="9" customFormat="1" ht="43.5" customHeight="1" x14ac:dyDescent="0.25">
      <c r="B83" s="2"/>
      <c r="C83" s="2"/>
      <c r="D83" s="2"/>
      <c r="E83" s="2"/>
      <c r="F83" s="2"/>
      <c r="G83" s="2"/>
      <c r="I83" s="16"/>
    </row>
    <row r="84" spans="2:9" s="9" customFormat="1" ht="43.5" customHeight="1" x14ac:dyDescent="0.25">
      <c r="B84" s="2"/>
      <c r="C84" s="2"/>
      <c r="D84" s="2"/>
      <c r="E84" s="2"/>
      <c r="F84" s="2"/>
      <c r="G84" s="2"/>
      <c r="I84" s="16"/>
    </row>
    <row r="85" spans="2:9" s="9" customFormat="1" ht="43.5" customHeight="1" x14ac:dyDescent="0.25">
      <c r="B85" s="2"/>
      <c r="C85" s="2"/>
      <c r="D85" s="2"/>
      <c r="E85" s="2"/>
      <c r="F85" s="2"/>
      <c r="G85" s="2"/>
      <c r="I85" s="16"/>
    </row>
    <row r="86" spans="2:9" s="9" customFormat="1" ht="43.5" customHeight="1" x14ac:dyDescent="0.25">
      <c r="B86" s="2"/>
      <c r="C86" s="2"/>
      <c r="D86" s="2"/>
      <c r="E86" s="2"/>
      <c r="F86" s="2"/>
      <c r="G86" s="2"/>
      <c r="I86" s="16"/>
    </row>
    <row r="87" spans="2:9" s="9" customFormat="1" ht="43.5" customHeight="1" x14ac:dyDescent="0.25">
      <c r="B87" s="2"/>
      <c r="C87" s="2"/>
      <c r="D87" s="2"/>
      <c r="E87" s="2"/>
      <c r="F87" s="2"/>
      <c r="G87" s="2"/>
      <c r="I87" s="16"/>
    </row>
    <row r="88" spans="2:9" s="9" customFormat="1" ht="43.5" customHeight="1" x14ac:dyDescent="0.25">
      <c r="B88" s="2"/>
      <c r="C88" s="2"/>
      <c r="D88" s="2"/>
      <c r="E88" s="2"/>
      <c r="F88" s="2"/>
      <c r="G88" s="2"/>
      <c r="I88" s="16"/>
    </row>
    <row r="89" spans="2:9" s="9" customFormat="1" ht="43.5" customHeight="1" x14ac:dyDescent="0.25">
      <c r="B89" s="2"/>
      <c r="C89" s="2"/>
      <c r="D89" s="2"/>
      <c r="E89" s="2"/>
      <c r="F89" s="2"/>
      <c r="G89" s="2"/>
      <c r="I89" s="16"/>
    </row>
    <row r="90" spans="2:9" s="9" customFormat="1" ht="43.5" customHeight="1" x14ac:dyDescent="0.25">
      <c r="B90" s="2"/>
      <c r="C90" s="2"/>
      <c r="D90" s="2"/>
      <c r="E90" s="2"/>
      <c r="F90" s="2"/>
      <c r="G90" s="2"/>
      <c r="I90" s="16"/>
    </row>
    <row r="91" spans="2:9" s="9" customFormat="1" ht="43.5" customHeight="1" x14ac:dyDescent="0.25">
      <c r="B91" s="2"/>
      <c r="C91" s="2"/>
      <c r="D91" s="2"/>
      <c r="E91" s="2"/>
      <c r="F91" s="2"/>
      <c r="G91" s="2"/>
      <c r="I91" s="16"/>
    </row>
    <row r="92" spans="2:9" s="9" customFormat="1" ht="43.5" customHeight="1" x14ac:dyDescent="0.25">
      <c r="B92" s="2"/>
      <c r="C92" s="2"/>
      <c r="D92" s="2"/>
      <c r="E92" s="2"/>
      <c r="F92" s="2"/>
      <c r="G92" s="2"/>
      <c r="I92" s="16"/>
    </row>
    <row r="93" spans="2:9" s="9" customFormat="1" ht="43.5" customHeight="1" x14ac:dyDescent="0.25">
      <c r="B93" s="2"/>
      <c r="C93" s="2"/>
      <c r="D93" s="2"/>
      <c r="E93" s="2"/>
      <c r="F93" s="2"/>
      <c r="G93" s="2"/>
      <c r="I93" s="16"/>
    </row>
    <row r="94" spans="2:9" s="9" customFormat="1" ht="43.5" customHeight="1" x14ac:dyDescent="0.25">
      <c r="B94" s="2"/>
      <c r="C94" s="2"/>
      <c r="D94" s="2"/>
      <c r="E94" s="2"/>
      <c r="F94" s="2"/>
      <c r="G94" s="2"/>
      <c r="I94" s="16"/>
    </row>
    <row r="95" spans="2:9" s="9" customFormat="1" ht="43.5" customHeight="1" x14ac:dyDescent="0.25">
      <c r="B95" s="2"/>
      <c r="C95" s="2"/>
      <c r="D95" s="2"/>
      <c r="E95" s="2"/>
      <c r="F95" s="2"/>
      <c r="G95" s="2"/>
      <c r="I95" s="16"/>
    </row>
    <row r="96" spans="2:9" s="9" customFormat="1" ht="43.5" customHeight="1" x14ac:dyDescent="0.25">
      <c r="B96" s="2"/>
      <c r="C96" s="2"/>
      <c r="D96" s="2"/>
      <c r="E96" s="2"/>
      <c r="F96" s="2"/>
      <c r="G96" s="2"/>
      <c r="I96" s="16"/>
    </row>
    <row r="97" spans="2:9" s="9" customFormat="1" ht="43.5" customHeight="1" x14ac:dyDescent="0.25">
      <c r="B97" s="2"/>
      <c r="C97" s="2"/>
      <c r="D97" s="2"/>
      <c r="E97" s="2"/>
      <c r="F97" s="2"/>
      <c r="G97" s="2"/>
      <c r="I97" s="16"/>
    </row>
    <row r="98" spans="2:9" s="9" customFormat="1" ht="43.5" customHeight="1" x14ac:dyDescent="0.25">
      <c r="B98" s="2"/>
      <c r="C98" s="2"/>
      <c r="D98" s="2"/>
      <c r="E98" s="2"/>
      <c r="F98" s="2"/>
      <c r="G98" s="2"/>
      <c r="I98" s="16"/>
    </row>
    <row r="99" spans="2:9" s="9" customFormat="1" ht="43.5" customHeight="1" x14ac:dyDescent="0.25">
      <c r="B99" s="2"/>
      <c r="C99" s="2"/>
      <c r="D99" s="2"/>
      <c r="E99" s="2"/>
      <c r="F99" s="2"/>
      <c r="G99" s="2"/>
      <c r="I99" s="16"/>
    </row>
    <row r="100" spans="2:9" s="9" customFormat="1" ht="43.5" customHeight="1" x14ac:dyDescent="0.25">
      <c r="B100" s="2"/>
      <c r="C100" s="2"/>
      <c r="D100" s="2"/>
      <c r="E100" s="2"/>
      <c r="F100" s="2"/>
      <c r="G100" s="2"/>
      <c r="I100" s="16"/>
    </row>
    <row r="101" spans="2:9" s="9" customFormat="1" ht="43.5" customHeight="1" x14ac:dyDescent="0.25">
      <c r="B101" s="2"/>
      <c r="C101" s="2"/>
      <c r="D101" s="2"/>
      <c r="E101" s="2"/>
      <c r="F101" s="2"/>
      <c r="G101" s="2"/>
      <c r="I101" s="16"/>
    </row>
    <row r="102" spans="2:9" s="9" customFormat="1" ht="43.5" customHeight="1" x14ac:dyDescent="0.25">
      <c r="B102" s="2"/>
      <c r="C102" s="2"/>
      <c r="D102" s="2"/>
      <c r="E102" s="2"/>
      <c r="F102" s="2"/>
      <c r="G102" s="2"/>
      <c r="I102" s="16"/>
    </row>
    <row r="103" spans="2:9" s="9" customFormat="1" ht="43.5" customHeight="1" x14ac:dyDescent="0.25">
      <c r="B103" s="2"/>
      <c r="C103" s="2"/>
      <c r="D103" s="2"/>
      <c r="E103" s="2"/>
      <c r="F103" s="2"/>
      <c r="G103" s="2"/>
      <c r="I103" s="16"/>
    </row>
    <row r="104" spans="2:9" s="9" customFormat="1" ht="43.5" customHeight="1" x14ac:dyDescent="0.25">
      <c r="B104" s="2"/>
      <c r="C104" s="2"/>
      <c r="D104" s="2"/>
      <c r="E104" s="2"/>
      <c r="F104" s="2"/>
      <c r="G104" s="2"/>
      <c r="I104" s="16"/>
    </row>
    <row r="105" spans="2:9" s="9" customFormat="1" ht="43.5" customHeight="1" x14ac:dyDescent="0.25">
      <c r="B105" s="2"/>
      <c r="C105" s="2"/>
      <c r="D105" s="2"/>
      <c r="E105" s="2"/>
      <c r="F105" s="2"/>
      <c r="G105" s="2"/>
      <c r="I105" s="16"/>
    </row>
    <row r="106" spans="2:9" s="9" customFormat="1" ht="43.5" customHeight="1" x14ac:dyDescent="0.25">
      <c r="B106" s="2"/>
      <c r="C106" s="2"/>
      <c r="D106" s="2"/>
      <c r="E106" s="2"/>
      <c r="F106" s="2"/>
      <c r="G106" s="2"/>
      <c r="I106" s="16"/>
    </row>
    <row r="107" spans="2:9" s="9" customFormat="1" ht="43.5" customHeight="1" x14ac:dyDescent="0.25">
      <c r="B107" s="2"/>
      <c r="C107" s="2"/>
      <c r="D107" s="2"/>
      <c r="E107" s="2"/>
      <c r="F107" s="2"/>
      <c r="G107" s="2"/>
      <c r="I107" s="16"/>
    </row>
    <row r="108" spans="2:9" s="9" customFormat="1" ht="43.5" customHeight="1" x14ac:dyDescent="0.25">
      <c r="B108" s="2"/>
      <c r="C108" s="2"/>
      <c r="D108" s="2"/>
      <c r="E108" s="2"/>
      <c r="F108" s="2"/>
      <c r="G108" s="2"/>
      <c r="I108" s="16"/>
    </row>
    <row r="109" spans="2:9" s="9" customFormat="1" ht="43.5" customHeight="1" x14ac:dyDescent="0.25">
      <c r="B109" s="2"/>
      <c r="C109" s="2"/>
      <c r="D109" s="2"/>
      <c r="E109" s="2"/>
      <c r="F109" s="2"/>
      <c r="G109" s="2"/>
      <c r="I109" s="16"/>
    </row>
    <row r="110" spans="2:9" s="9" customFormat="1" ht="43.5" customHeight="1" x14ac:dyDescent="0.25">
      <c r="B110" s="2"/>
      <c r="C110" s="2"/>
      <c r="D110" s="2"/>
      <c r="E110" s="2"/>
      <c r="F110" s="2"/>
      <c r="G110" s="2"/>
      <c r="I110" s="16"/>
    </row>
    <row r="111" spans="2:9" s="9" customFormat="1" ht="43.5" customHeight="1" x14ac:dyDescent="0.25">
      <c r="B111" s="2"/>
      <c r="C111" s="2"/>
      <c r="D111" s="2"/>
      <c r="E111" s="2"/>
      <c r="F111" s="2"/>
      <c r="G111" s="2"/>
      <c r="I111" s="16"/>
    </row>
    <row r="112" spans="2:9" s="9" customFormat="1" ht="43.5" customHeight="1" x14ac:dyDescent="0.25">
      <c r="B112" s="2"/>
      <c r="C112" s="2"/>
      <c r="D112" s="2"/>
      <c r="E112" s="2"/>
      <c r="F112" s="2"/>
      <c r="G112" s="2"/>
      <c r="I112" s="16"/>
    </row>
    <row r="113" spans="2:9" s="9" customFormat="1" ht="43.5" customHeight="1" x14ac:dyDescent="0.25">
      <c r="B113" s="2"/>
      <c r="C113" s="2"/>
      <c r="D113" s="2"/>
      <c r="E113" s="2"/>
      <c r="F113" s="2"/>
      <c r="G113" s="2"/>
      <c r="I113" s="16"/>
    </row>
    <row r="114" spans="2:9" s="9" customFormat="1" ht="43.5" customHeight="1" x14ac:dyDescent="0.25">
      <c r="B114" s="2"/>
      <c r="C114" s="2"/>
      <c r="D114" s="2"/>
      <c r="E114" s="2"/>
      <c r="F114" s="2"/>
      <c r="G114" s="2"/>
      <c r="I114" s="16"/>
    </row>
    <row r="115" spans="2:9" s="9" customFormat="1" ht="43.5" customHeight="1" x14ac:dyDescent="0.25">
      <c r="B115" s="2"/>
      <c r="C115" s="2"/>
      <c r="D115" s="2"/>
      <c r="E115" s="2"/>
      <c r="F115" s="2"/>
      <c r="G115" s="2"/>
      <c r="I115" s="16"/>
    </row>
    <row r="116" spans="2:9" s="9" customFormat="1" ht="43.5" customHeight="1" x14ac:dyDescent="0.25">
      <c r="B116" s="2"/>
      <c r="C116" s="2"/>
      <c r="D116" s="2"/>
      <c r="E116" s="2"/>
      <c r="F116" s="2"/>
      <c r="G116" s="2"/>
      <c r="I116" s="16"/>
    </row>
    <row r="117" spans="2:9" s="9" customFormat="1" ht="43.5" customHeight="1" x14ac:dyDescent="0.25">
      <c r="B117" s="2"/>
      <c r="C117" s="2"/>
      <c r="D117" s="2"/>
      <c r="E117" s="2"/>
      <c r="F117" s="2"/>
      <c r="G117" s="2"/>
      <c r="I117" s="16"/>
    </row>
    <row r="118" spans="2:9" s="9" customFormat="1" ht="43.5" customHeight="1" x14ac:dyDescent="0.25">
      <c r="B118" s="2"/>
      <c r="C118" s="2"/>
      <c r="D118" s="2"/>
      <c r="E118" s="2"/>
      <c r="F118" s="2"/>
      <c r="G118" s="2"/>
      <c r="I118" s="16"/>
    </row>
    <row r="119" spans="2:9" s="9" customFormat="1" ht="43.5" customHeight="1" x14ac:dyDescent="0.25">
      <c r="B119" s="2"/>
      <c r="C119" s="2"/>
      <c r="D119" s="2"/>
      <c r="E119" s="2"/>
      <c r="F119" s="2"/>
      <c r="G119" s="2"/>
      <c r="I119" s="16"/>
    </row>
    <row r="120" spans="2:9" s="9" customFormat="1" ht="43.5" customHeight="1" x14ac:dyDescent="0.25">
      <c r="B120" s="2"/>
      <c r="C120" s="2"/>
      <c r="D120" s="2"/>
      <c r="E120" s="2"/>
      <c r="F120" s="2"/>
      <c r="G120" s="2"/>
      <c r="I120" s="16"/>
    </row>
    <row r="121" spans="2:9" s="9" customFormat="1" ht="43.5" customHeight="1" x14ac:dyDescent="0.25">
      <c r="B121" s="2"/>
      <c r="C121" s="2"/>
      <c r="D121" s="2"/>
      <c r="E121" s="2"/>
      <c r="F121" s="2"/>
      <c r="G121" s="2"/>
      <c r="I121" s="16"/>
    </row>
    <row r="122" spans="2:9" s="9" customFormat="1" ht="43.5" customHeight="1" x14ac:dyDescent="0.25">
      <c r="B122" s="2"/>
      <c r="C122" s="2"/>
      <c r="D122" s="2"/>
      <c r="E122" s="2"/>
      <c r="F122" s="2"/>
      <c r="G122" s="2"/>
      <c r="I122" s="16"/>
    </row>
    <row r="123" spans="2:9" s="9" customFormat="1" ht="43.5" customHeight="1" x14ac:dyDescent="0.25">
      <c r="B123" s="2"/>
      <c r="C123" s="2"/>
      <c r="D123" s="2"/>
      <c r="E123" s="2"/>
      <c r="F123" s="2"/>
      <c r="G123" s="2"/>
      <c r="I123" s="16"/>
    </row>
    <row r="124" spans="2:9" s="9" customFormat="1" ht="43.5" customHeight="1" x14ac:dyDescent="0.25">
      <c r="B124" s="2"/>
      <c r="C124" s="2"/>
      <c r="D124" s="2"/>
      <c r="E124" s="2"/>
      <c r="F124" s="2"/>
      <c r="G124" s="2"/>
      <c r="I124" s="16"/>
    </row>
    <row r="125" spans="2:9" s="9" customFormat="1" ht="43.5" customHeight="1" x14ac:dyDescent="0.25">
      <c r="B125" s="2"/>
      <c r="C125" s="2"/>
      <c r="D125" s="2"/>
      <c r="E125" s="2"/>
      <c r="F125" s="2"/>
      <c r="G125" s="2"/>
      <c r="I125" s="16"/>
    </row>
    <row r="126" spans="2:9" s="9" customFormat="1" ht="43.5" customHeight="1" x14ac:dyDescent="0.25">
      <c r="B126" s="2"/>
      <c r="C126" s="2"/>
      <c r="D126" s="2"/>
      <c r="E126" s="2"/>
      <c r="F126" s="2"/>
      <c r="G126" s="2"/>
      <c r="I126" s="16"/>
    </row>
    <row r="127" spans="2:9" s="9" customFormat="1" ht="43.5" customHeight="1" x14ac:dyDescent="0.25">
      <c r="B127" s="2"/>
      <c r="C127" s="2"/>
      <c r="D127" s="2"/>
      <c r="E127" s="2"/>
      <c r="F127" s="2"/>
      <c r="G127" s="2"/>
      <c r="I127" s="16"/>
    </row>
    <row r="128" spans="2:9" s="9" customFormat="1" ht="43.5" customHeight="1" x14ac:dyDescent="0.25">
      <c r="B128" s="2"/>
      <c r="C128" s="2"/>
      <c r="D128" s="2"/>
      <c r="E128" s="2"/>
      <c r="F128" s="2"/>
      <c r="G128" s="2"/>
      <c r="I128" s="16"/>
    </row>
    <row r="129" spans="2:9" s="9" customFormat="1" ht="43.5" customHeight="1" x14ac:dyDescent="0.25">
      <c r="B129" s="2"/>
      <c r="C129" s="2"/>
      <c r="D129" s="2"/>
      <c r="E129" s="2"/>
      <c r="F129" s="2"/>
      <c r="G129" s="2"/>
      <c r="I129" s="16"/>
    </row>
    <row r="130" spans="2:9" s="9" customFormat="1" ht="43.5" customHeight="1" x14ac:dyDescent="0.25">
      <c r="B130" s="2"/>
      <c r="C130" s="2"/>
      <c r="D130" s="2"/>
      <c r="E130" s="2"/>
      <c r="F130" s="2"/>
      <c r="G130" s="2"/>
      <c r="I130" s="16"/>
    </row>
    <row r="131" spans="2:9" s="9" customFormat="1" ht="43.5" customHeight="1" x14ac:dyDescent="0.25">
      <c r="B131" s="2"/>
      <c r="C131" s="2"/>
      <c r="D131" s="2"/>
      <c r="E131" s="2"/>
      <c r="F131" s="2"/>
      <c r="G131" s="2"/>
      <c r="I131" s="16"/>
    </row>
    <row r="132" spans="2:9" s="9" customFormat="1" ht="43.5" customHeight="1" x14ac:dyDescent="0.25">
      <c r="B132" s="2"/>
      <c r="C132" s="2"/>
      <c r="D132" s="2"/>
      <c r="E132" s="2"/>
      <c r="F132" s="2"/>
      <c r="G132" s="2"/>
      <c r="I132" s="16"/>
    </row>
    <row r="133" spans="2:9" s="9" customFormat="1" ht="43.5" customHeight="1" x14ac:dyDescent="0.25">
      <c r="B133" s="2"/>
      <c r="C133" s="2"/>
      <c r="D133" s="2"/>
      <c r="E133" s="2"/>
      <c r="F133" s="2"/>
      <c r="G133" s="2"/>
      <c r="I133" s="16"/>
    </row>
    <row r="134" spans="2:9" s="9" customFormat="1" ht="43.5" customHeight="1" x14ac:dyDescent="0.25">
      <c r="B134" s="2"/>
      <c r="C134" s="2"/>
      <c r="D134" s="2"/>
      <c r="E134" s="2"/>
      <c r="F134" s="2"/>
      <c r="G134" s="2"/>
      <c r="I134" s="16"/>
    </row>
    <row r="135" spans="2:9" s="9" customFormat="1" ht="43.5" customHeight="1" x14ac:dyDescent="0.25">
      <c r="B135" s="2"/>
      <c r="C135" s="2"/>
      <c r="D135" s="2"/>
      <c r="E135" s="2"/>
      <c r="F135" s="2"/>
      <c r="G135" s="2"/>
      <c r="I135" s="16"/>
    </row>
    <row r="136" spans="2:9" s="9" customFormat="1" ht="43.5" customHeight="1" x14ac:dyDescent="0.25">
      <c r="B136" s="2"/>
      <c r="C136" s="2"/>
      <c r="D136" s="2"/>
      <c r="E136" s="2"/>
      <c r="F136" s="2"/>
      <c r="G136" s="2"/>
      <c r="I136" s="16"/>
    </row>
    <row r="137" spans="2:9" s="9" customFormat="1" ht="43.5" customHeight="1" x14ac:dyDescent="0.25">
      <c r="B137" s="2"/>
      <c r="C137" s="2"/>
      <c r="D137" s="2"/>
      <c r="E137" s="2"/>
      <c r="F137" s="2"/>
      <c r="G137" s="2"/>
      <c r="I137" s="16"/>
    </row>
    <row r="138" spans="2:9" s="9" customFormat="1" ht="43.5" customHeight="1" x14ac:dyDescent="0.25">
      <c r="B138" s="2"/>
      <c r="C138" s="2"/>
      <c r="D138" s="2"/>
      <c r="E138" s="2"/>
      <c r="F138" s="2"/>
      <c r="G138" s="2"/>
      <c r="I138" s="16"/>
    </row>
    <row r="139" spans="2:9" s="9" customFormat="1" ht="43.5" customHeight="1" x14ac:dyDescent="0.25">
      <c r="B139" s="2"/>
      <c r="C139" s="2"/>
      <c r="D139" s="2"/>
      <c r="E139" s="2"/>
      <c r="F139" s="2"/>
      <c r="G139" s="2"/>
      <c r="I139" s="16"/>
    </row>
    <row r="140" spans="2:9" s="9" customFormat="1" ht="43.5" customHeight="1" x14ac:dyDescent="0.25">
      <c r="B140" s="2"/>
      <c r="C140" s="2"/>
      <c r="D140" s="2"/>
      <c r="E140" s="2"/>
      <c r="F140" s="2"/>
      <c r="G140" s="2"/>
      <c r="I140" s="16"/>
    </row>
    <row r="141" spans="2:9" s="9" customFormat="1" ht="43.5" customHeight="1" x14ac:dyDescent="0.25">
      <c r="B141" s="2"/>
      <c r="C141" s="2"/>
      <c r="D141" s="2"/>
      <c r="E141" s="2"/>
      <c r="F141" s="2"/>
      <c r="G141" s="2"/>
      <c r="I141" s="16"/>
    </row>
    <row r="142" spans="2:9" s="9" customFormat="1" ht="43.5" customHeight="1" x14ac:dyDescent="0.25">
      <c r="B142" s="2"/>
      <c r="C142" s="2"/>
      <c r="D142" s="2"/>
      <c r="E142" s="2"/>
      <c r="F142" s="2"/>
      <c r="G142" s="2"/>
      <c r="I142" s="16"/>
    </row>
    <row r="143" spans="2:9" s="9" customFormat="1" ht="43.5" customHeight="1" x14ac:dyDescent="0.25">
      <c r="B143" s="2"/>
      <c r="C143" s="2"/>
      <c r="D143" s="2"/>
      <c r="E143" s="2"/>
      <c r="F143" s="2"/>
      <c r="G143" s="2"/>
      <c r="I143" s="16"/>
    </row>
  </sheetData>
  <mergeCells count="19">
    <mergeCell ref="I2:N2"/>
    <mergeCell ref="B3:G3"/>
    <mergeCell ref="I3:I4"/>
    <mergeCell ref="B4:G4"/>
    <mergeCell ref="B14:G14"/>
    <mergeCell ref="B13:G13"/>
    <mergeCell ref="B12:C12"/>
    <mergeCell ref="E12:F12"/>
    <mergeCell ref="B2:G2"/>
    <mergeCell ref="B11:G11"/>
    <mergeCell ref="C37:E37"/>
    <mergeCell ref="F37:G37"/>
    <mergeCell ref="E19:F19"/>
    <mergeCell ref="E20:F20"/>
    <mergeCell ref="E21:F21"/>
    <mergeCell ref="C27:D27"/>
    <mergeCell ref="C29:D29"/>
    <mergeCell ref="C36:D36"/>
    <mergeCell ref="E36:F36"/>
  </mergeCells>
  <printOptions horizontalCentered="1" verticalCentered="1" gridLinesSet="0"/>
  <pageMargins left="0" right="0" top="0" bottom="0" header="0" footer="0"/>
  <pageSetup scale="25" firstPageNumber="6" orientation="portrait" blackAndWhite="1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4"/>
  <sheetViews>
    <sheetView zoomScale="60" zoomScaleNormal="60" workbookViewId="0">
      <selection activeCell="G83" sqref="G83"/>
    </sheetView>
  </sheetViews>
  <sheetFormatPr baseColWidth="10" defaultRowHeight="15" x14ac:dyDescent="0.25"/>
  <cols>
    <col min="1" max="1" width="21.42578125" customWidth="1"/>
    <col min="2" max="2" width="25.42578125" customWidth="1"/>
    <col min="3" max="3" width="19.28515625" customWidth="1"/>
    <col min="4" max="4" width="10.28515625" customWidth="1"/>
    <col min="5" max="5" width="31.85546875" style="142" customWidth="1"/>
    <col min="6" max="6" width="23.7109375" customWidth="1"/>
    <col min="7" max="7" width="21.28515625" customWidth="1"/>
    <col min="8" max="8" width="23.7109375" customWidth="1"/>
    <col min="9" max="9" width="19" customWidth="1"/>
    <col min="10" max="10" width="36.42578125" customWidth="1"/>
  </cols>
  <sheetData>
    <row r="2" spans="1:13" ht="15" customHeight="1" x14ac:dyDescent="0.25">
      <c r="A2" s="142"/>
      <c r="B2" s="204"/>
      <c r="F2" s="203"/>
    </row>
    <row r="3" spans="1:13" x14ac:dyDescent="0.25">
      <c r="A3" s="142"/>
      <c r="B3" s="210" t="s">
        <v>198</v>
      </c>
      <c r="C3" s="211" t="s">
        <v>197</v>
      </c>
      <c r="D3" s="211"/>
      <c r="E3" s="210" t="s">
        <v>204</v>
      </c>
      <c r="F3" s="211" t="s">
        <v>197</v>
      </c>
    </row>
    <row r="4" spans="1:13" x14ac:dyDescent="0.25">
      <c r="A4" s="142"/>
      <c r="B4" s="257"/>
      <c r="C4" s="258"/>
      <c r="D4" s="259"/>
      <c r="E4" s="257">
        <v>110000060033</v>
      </c>
      <c r="F4" s="258">
        <v>7000000</v>
      </c>
      <c r="G4" s="142"/>
      <c r="H4" s="203"/>
    </row>
    <row r="5" spans="1:13" x14ac:dyDescent="0.25">
      <c r="A5" s="142"/>
      <c r="B5" s="257"/>
      <c r="C5" s="258"/>
      <c r="D5" s="259"/>
      <c r="E5" s="257">
        <v>110000060490</v>
      </c>
      <c r="F5" s="258">
        <v>1500000</v>
      </c>
      <c r="G5" s="142"/>
      <c r="H5" s="203"/>
    </row>
    <row r="6" spans="1:13" x14ac:dyDescent="0.25">
      <c r="A6" s="142"/>
      <c r="B6" s="257"/>
      <c r="C6" s="258"/>
      <c r="D6" s="259"/>
      <c r="E6" s="257">
        <v>110000085275</v>
      </c>
      <c r="F6" s="258">
        <v>27200000</v>
      </c>
      <c r="G6" s="142"/>
      <c r="H6" s="203"/>
    </row>
    <row r="7" spans="1:13" x14ac:dyDescent="0.25">
      <c r="A7" s="142"/>
      <c r="B7" s="257"/>
      <c r="C7" s="258"/>
      <c r="D7" s="259"/>
      <c r="E7" s="257">
        <v>110000083136</v>
      </c>
      <c r="F7" s="258">
        <v>217212.78</v>
      </c>
    </row>
    <row r="8" spans="1:13" x14ac:dyDescent="0.25">
      <c r="A8" s="142"/>
      <c r="B8" s="257"/>
      <c r="C8" s="258"/>
      <c r="D8" s="259"/>
      <c r="E8" s="257">
        <v>110000083047</v>
      </c>
      <c r="F8" s="258">
        <v>93106.66</v>
      </c>
      <c r="G8" s="142"/>
    </row>
    <row r="9" spans="1:13" x14ac:dyDescent="0.25">
      <c r="A9" s="142"/>
      <c r="B9" s="257"/>
      <c r="C9" s="258"/>
      <c r="D9" s="259"/>
      <c r="E9" s="257">
        <v>110000083065</v>
      </c>
      <c r="F9" s="258">
        <v>1636784.18</v>
      </c>
      <c r="G9" s="142"/>
      <c r="L9" s="257">
        <v>110000084053</v>
      </c>
      <c r="M9" s="258">
        <v>46500000</v>
      </c>
    </row>
    <row r="10" spans="1:13" x14ac:dyDescent="0.25">
      <c r="A10" s="142"/>
      <c r="B10" s="257"/>
      <c r="C10" s="258"/>
      <c r="D10" s="259"/>
      <c r="E10" s="257">
        <v>110000083092</v>
      </c>
      <c r="F10" s="258">
        <v>1064439.6299999999</v>
      </c>
      <c r="G10" s="142"/>
      <c r="L10" s="257">
        <v>110000084062</v>
      </c>
      <c r="M10" s="258">
        <v>25000000</v>
      </c>
    </row>
    <row r="11" spans="1:13" x14ac:dyDescent="0.25">
      <c r="A11" s="142"/>
      <c r="B11" s="257"/>
      <c r="C11" s="258"/>
      <c r="D11" s="259"/>
      <c r="E11" s="257">
        <v>110000083145</v>
      </c>
      <c r="F11" s="258">
        <v>323171.62</v>
      </c>
      <c r="L11" s="257">
        <v>110000084071</v>
      </c>
      <c r="M11" s="258">
        <v>411500</v>
      </c>
    </row>
    <row r="12" spans="1:13" x14ac:dyDescent="0.25">
      <c r="A12" s="142"/>
      <c r="B12" s="257"/>
      <c r="C12" s="258"/>
      <c r="D12" s="259"/>
      <c r="E12" s="257">
        <v>110000083074</v>
      </c>
      <c r="F12" s="258">
        <v>3119609.91</v>
      </c>
      <c r="G12" s="142"/>
    </row>
    <row r="13" spans="1:13" x14ac:dyDescent="0.25">
      <c r="A13" s="142"/>
      <c r="B13" s="257"/>
      <c r="C13" s="258"/>
      <c r="D13" s="258"/>
      <c r="E13" s="257">
        <v>110000083056</v>
      </c>
      <c r="F13" s="258">
        <v>573969.68000000005</v>
      </c>
      <c r="G13" s="142"/>
    </row>
    <row r="14" spans="1:13" x14ac:dyDescent="0.25">
      <c r="A14" s="142"/>
      <c r="B14" s="257"/>
      <c r="C14" s="258"/>
      <c r="D14" s="258"/>
      <c r="E14" s="257">
        <v>110000082999</v>
      </c>
      <c r="F14" s="258">
        <v>88943771.780000001</v>
      </c>
    </row>
    <row r="15" spans="1:13" x14ac:dyDescent="0.25">
      <c r="A15" s="142"/>
      <c r="B15" s="257"/>
      <c r="C15" s="258"/>
      <c r="D15" s="258"/>
      <c r="E15" s="257">
        <v>110000083118</v>
      </c>
      <c r="F15" s="258">
        <v>8261248.6799999997</v>
      </c>
      <c r="G15" s="142"/>
    </row>
    <row r="16" spans="1:13" x14ac:dyDescent="0.25">
      <c r="A16" s="142"/>
      <c r="B16" s="257"/>
      <c r="C16" s="258"/>
      <c r="D16" s="258"/>
      <c r="E16" s="257">
        <v>110000083163</v>
      </c>
      <c r="F16" s="258">
        <v>1280495</v>
      </c>
      <c r="G16" s="142"/>
    </row>
    <row r="17" spans="1:7" x14ac:dyDescent="0.25">
      <c r="A17" s="142"/>
      <c r="B17" s="257"/>
      <c r="C17" s="258"/>
      <c r="D17" s="258"/>
      <c r="E17" s="257">
        <v>110000083000</v>
      </c>
      <c r="F17" s="258">
        <v>26112559.23</v>
      </c>
      <c r="G17" s="142"/>
    </row>
    <row r="18" spans="1:7" x14ac:dyDescent="0.25">
      <c r="A18" s="142"/>
      <c r="B18" s="257"/>
      <c r="C18" s="258"/>
      <c r="D18" s="258"/>
      <c r="E18" s="257">
        <v>110000083083</v>
      </c>
      <c r="F18" s="258">
        <v>22576.35</v>
      </c>
      <c r="G18" s="142"/>
    </row>
    <row r="19" spans="1:7" x14ac:dyDescent="0.25">
      <c r="A19" s="142"/>
      <c r="B19" s="257"/>
      <c r="C19" s="258"/>
      <c r="D19" s="258"/>
      <c r="E19" s="257">
        <v>110000083038</v>
      </c>
      <c r="F19" s="258">
        <v>212080346.53999999</v>
      </c>
      <c r="G19" s="142"/>
    </row>
    <row r="20" spans="1:7" x14ac:dyDescent="0.25">
      <c r="A20" s="142"/>
      <c r="B20" s="257"/>
      <c r="C20" s="258"/>
      <c r="D20" s="258"/>
      <c r="E20" s="257">
        <v>110000083172</v>
      </c>
      <c r="F20" s="258">
        <v>25222.92</v>
      </c>
      <c r="G20" s="142"/>
    </row>
    <row r="21" spans="1:7" x14ac:dyDescent="0.25">
      <c r="A21" s="142"/>
      <c r="B21" s="257"/>
      <c r="C21" s="258"/>
      <c r="D21" s="258"/>
      <c r="E21" s="257">
        <v>110000083010</v>
      </c>
      <c r="F21" s="258">
        <v>9596722.8300000001</v>
      </c>
    </row>
    <row r="22" spans="1:7" x14ac:dyDescent="0.25">
      <c r="B22" s="257"/>
      <c r="C22" s="258"/>
      <c r="D22" s="258"/>
      <c r="E22" s="257">
        <v>110000083109</v>
      </c>
      <c r="F22" s="258">
        <v>3870391.05</v>
      </c>
      <c r="G22" s="142"/>
    </row>
    <row r="23" spans="1:7" x14ac:dyDescent="0.25">
      <c r="B23" s="257"/>
      <c r="C23" s="258"/>
      <c r="D23" s="258"/>
      <c r="E23" s="257">
        <v>110000083127</v>
      </c>
      <c r="F23" s="259">
        <v>1858681.25</v>
      </c>
      <c r="G23" s="142"/>
    </row>
    <row r="24" spans="1:7" x14ac:dyDescent="0.25">
      <c r="B24" s="257"/>
      <c r="C24" s="258"/>
      <c r="D24" s="258"/>
      <c r="E24" s="257">
        <v>110000083154</v>
      </c>
      <c r="F24" s="258">
        <v>538945.37</v>
      </c>
      <c r="G24" s="142"/>
    </row>
    <row r="25" spans="1:7" x14ac:dyDescent="0.25">
      <c r="B25" s="257"/>
      <c r="C25" s="258"/>
      <c r="D25" s="258"/>
      <c r="E25" s="257">
        <v>110000083029</v>
      </c>
      <c r="F25" s="258">
        <v>189800045.22999999</v>
      </c>
    </row>
    <row r="26" spans="1:7" x14ac:dyDescent="0.25">
      <c r="B26" s="257"/>
      <c r="C26" s="258"/>
      <c r="D26" s="258"/>
      <c r="E26" s="257">
        <v>110000083181</v>
      </c>
      <c r="F26" s="258">
        <v>12500000</v>
      </c>
      <c r="G26" s="142"/>
    </row>
    <row r="27" spans="1:7" x14ac:dyDescent="0.25">
      <c r="B27" s="257"/>
      <c r="C27" s="258"/>
      <c r="D27" s="258"/>
      <c r="E27" s="257">
        <v>110000083190</v>
      </c>
      <c r="F27" s="258">
        <v>11387255.130000001</v>
      </c>
      <c r="G27" s="142"/>
    </row>
    <row r="28" spans="1:7" x14ac:dyDescent="0.25">
      <c r="B28" s="257"/>
      <c r="C28" s="258"/>
      <c r="D28" s="258"/>
      <c r="E28" s="257">
        <v>110000083207</v>
      </c>
      <c r="F28" s="258">
        <v>500000000</v>
      </c>
      <c r="G28" s="142"/>
    </row>
    <row r="29" spans="1:7" x14ac:dyDescent="0.25">
      <c r="B29" s="257"/>
      <c r="C29" s="258"/>
      <c r="D29" s="258"/>
      <c r="E29" s="257">
        <v>110000083403</v>
      </c>
      <c r="F29" s="258">
        <v>58944.24</v>
      </c>
      <c r="G29" s="142"/>
    </row>
    <row r="30" spans="1:7" x14ac:dyDescent="0.25">
      <c r="B30" s="257"/>
      <c r="C30" s="258"/>
      <c r="D30" s="258"/>
      <c r="E30" s="257">
        <v>110000083412</v>
      </c>
      <c r="F30" s="258">
        <v>23164.54</v>
      </c>
    </row>
    <row r="31" spans="1:7" x14ac:dyDescent="0.25">
      <c r="B31" s="257"/>
      <c r="C31" s="258"/>
      <c r="D31" s="258"/>
      <c r="E31" s="257">
        <v>110000083421</v>
      </c>
      <c r="F31" s="258">
        <v>25270.11</v>
      </c>
    </row>
    <row r="32" spans="1:7" x14ac:dyDescent="0.25">
      <c r="B32" s="257"/>
      <c r="C32" s="258"/>
      <c r="D32" s="258"/>
      <c r="E32" s="257">
        <v>110000049072</v>
      </c>
      <c r="F32" s="258">
        <v>1468558.75</v>
      </c>
      <c r="G32" s="142"/>
    </row>
    <row r="33" spans="2:7" x14ac:dyDescent="0.25">
      <c r="B33" s="257"/>
      <c r="C33" s="258"/>
      <c r="D33" s="258"/>
      <c r="E33" s="257">
        <v>110000052461</v>
      </c>
      <c r="F33" s="258">
        <v>745869</v>
      </c>
      <c r="G33" s="142"/>
    </row>
    <row r="34" spans="2:7" x14ac:dyDescent="0.25">
      <c r="B34" s="257"/>
      <c r="C34" s="258"/>
      <c r="D34" s="258"/>
      <c r="E34" s="257">
        <v>110000034964</v>
      </c>
      <c r="F34" s="258">
        <v>25309538.07</v>
      </c>
    </row>
    <row r="35" spans="2:7" x14ac:dyDescent="0.25">
      <c r="B35" s="257"/>
      <c r="C35" s="258"/>
      <c r="D35" s="258"/>
      <c r="E35" s="257">
        <v>110000084616</v>
      </c>
      <c r="F35" s="258">
        <v>95192.63</v>
      </c>
      <c r="G35" s="142"/>
    </row>
    <row r="36" spans="2:7" x14ac:dyDescent="0.25">
      <c r="B36" s="257"/>
      <c r="C36" s="258"/>
      <c r="D36" s="258"/>
      <c r="E36" s="257">
        <v>110000084625</v>
      </c>
      <c r="F36" s="258">
        <v>241032.87</v>
      </c>
      <c r="G36" s="142"/>
    </row>
    <row r="37" spans="2:7" x14ac:dyDescent="0.25">
      <c r="B37" s="257"/>
      <c r="C37" s="258"/>
      <c r="D37" s="258"/>
      <c r="E37" s="257">
        <v>110000084760</v>
      </c>
      <c r="F37" s="258">
        <v>5748468.9000000004</v>
      </c>
      <c r="G37" s="142"/>
    </row>
    <row r="38" spans="2:7" x14ac:dyDescent="0.25">
      <c r="B38" s="257"/>
      <c r="C38" s="258"/>
      <c r="D38" s="258"/>
      <c r="E38" s="257">
        <v>110000084840</v>
      </c>
      <c r="F38" s="258">
        <v>2770128.35</v>
      </c>
      <c r="G38" s="142"/>
    </row>
    <row r="39" spans="2:7" x14ac:dyDescent="0.25">
      <c r="B39" s="257"/>
      <c r="C39" s="258"/>
      <c r="D39" s="258"/>
      <c r="E39" s="257">
        <v>110000083913</v>
      </c>
      <c r="F39" s="258">
        <v>2783744.44</v>
      </c>
      <c r="G39" s="142"/>
    </row>
    <row r="40" spans="2:7" x14ac:dyDescent="0.25">
      <c r="B40" s="257"/>
      <c r="C40" s="258"/>
      <c r="D40" s="258"/>
      <c r="E40" s="257">
        <v>110000084311</v>
      </c>
      <c r="F40" s="258">
        <v>4107733.11</v>
      </c>
      <c r="G40" s="142"/>
    </row>
    <row r="41" spans="2:7" x14ac:dyDescent="0.25">
      <c r="B41" s="257"/>
      <c r="C41" s="258"/>
      <c r="D41" s="258"/>
      <c r="E41" s="257">
        <v>110000084320</v>
      </c>
      <c r="F41" s="258">
        <v>984986.81</v>
      </c>
    </row>
    <row r="42" spans="2:7" x14ac:dyDescent="0.25">
      <c r="B42" s="257"/>
      <c r="C42" s="258"/>
      <c r="D42" s="258"/>
      <c r="E42" s="257">
        <v>110000084330</v>
      </c>
      <c r="F42" s="258">
        <v>3092594.03</v>
      </c>
    </row>
    <row r="43" spans="2:7" x14ac:dyDescent="0.25">
      <c r="B43" s="257"/>
      <c r="C43" s="258"/>
      <c r="D43" s="258"/>
      <c r="E43" s="257">
        <v>110000084483</v>
      </c>
      <c r="F43" s="258">
        <v>1400803.08</v>
      </c>
    </row>
    <row r="44" spans="2:7" x14ac:dyDescent="0.25">
      <c r="B44" s="257"/>
      <c r="C44" s="258"/>
      <c r="D44" s="258"/>
      <c r="E44" s="257">
        <v>110000084901</v>
      </c>
      <c r="F44" s="258">
        <v>2927856.78</v>
      </c>
      <c r="G44" s="142"/>
    </row>
    <row r="45" spans="2:7" x14ac:dyDescent="0.25">
      <c r="B45" s="257"/>
      <c r="C45" s="258"/>
      <c r="D45" s="258"/>
      <c r="E45" s="257">
        <v>110000084035</v>
      </c>
      <c r="F45" s="258">
        <v>12411797.550000001</v>
      </c>
      <c r="G45" s="142"/>
    </row>
    <row r="46" spans="2:7" x14ac:dyDescent="0.25">
      <c r="B46" s="257"/>
      <c r="C46" s="258"/>
      <c r="D46" s="258"/>
      <c r="E46" s="257">
        <v>110000084231</v>
      </c>
      <c r="F46" s="258">
        <v>10134909.630000001</v>
      </c>
      <c r="G46" s="142"/>
    </row>
    <row r="47" spans="2:7" x14ac:dyDescent="0.25">
      <c r="B47" s="257"/>
      <c r="C47" s="258"/>
      <c r="D47" s="258"/>
      <c r="E47" s="257">
        <v>110000085186</v>
      </c>
      <c r="F47" s="259">
        <v>11383899.210000001</v>
      </c>
      <c r="G47" s="142"/>
    </row>
    <row r="48" spans="2:7" x14ac:dyDescent="0.25">
      <c r="B48" s="257"/>
      <c r="C48" s="258"/>
      <c r="D48" s="258"/>
      <c r="E48" s="257">
        <v>110000058090</v>
      </c>
      <c r="F48" s="258">
        <v>9411663.8200000003</v>
      </c>
    </row>
    <row r="49" spans="2:7" x14ac:dyDescent="0.25">
      <c r="B49" s="257"/>
      <c r="C49" s="258"/>
      <c r="D49" s="258"/>
      <c r="E49" s="257">
        <v>110000058115</v>
      </c>
      <c r="F49" s="258">
        <v>747863.42</v>
      </c>
      <c r="G49" s="142"/>
    </row>
    <row r="50" spans="2:7" x14ac:dyDescent="0.25">
      <c r="B50" s="257"/>
      <c r="C50" s="258"/>
      <c r="D50" s="258"/>
      <c r="E50" s="257">
        <v>110000058124</v>
      </c>
      <c r="F50" s="258">
        <v>19953269.760000002</v>
      </c>
      <c r="G50" s="142"/>
    </row>
    <row r="51" spans="2:7" x14ac:dyDescent="0.25">
      <c r="B51" s="257"/>
      <c r="C51" s="258"/>
      <c r="D51" s="258"/>
      <c r="E51" s="257">
        <v>110000060042</v>
      </c>
      <c r="F51" s="259">
        <v>14213000</v>
      </c>
      <c r="G51" s="142"/>
    </row>
    <row r="52" spans="2:7" x14ac:dyDescent="0.25">
      <c r="B52" s="257"/>
      <c r="C52" s="258"/>
      <c r="D52" s="258"/>
      <c r="E52" s="257">
        <v>110000060392</v>
      </c>
      <c r="F52" s="259">
        <v>3097662</v>
      </c>
    </row>
    <row r="53" spans="2:7" x14ac:dyDescent="0.25">
      <c r="B53" s="257"/>
      <c r="C53" s="258"/>
      <c r="D53" s="258"/>
      <c r="E53" s="257">
        <v>110000053315</v>
      </c>
      <c r="F53" s="258">
        <v>132928772.23</v>
      </c>
    </row>
    <row r="54" spans="2:7" x14ac:dyDescent="0.25">
      <c r="B54" s="257"/>
      <c r="C54" s="258"/>
      <c r="D54" s="258"/>
      <c r="E54" s="257">
        <v>110000053324</v>
      </c>
      <c r="F54" s="258">
        <v>9698013.7899999991</v>
      </c>
    </row>
    <row r="55" spans="2:7" x14ac:dyDescent="0.25">
      <c r="B55" s="257"/>
      <c r="C55" s="258"/>
      <c r="D55" s="258"/>
      <c r="E55" s="257">
        <v>110000053333</v>
      </c>
      <c r="F55" s="259">
        <v>725842.91</v>
      </c>
      <c r="G55" s="142"/>
    </row>
    <row r="56" spans="2:7" x14ac:dyDescent="0.25">
      <c r="B56" s="257"/>
      <c r="C56" s="258"/>
      <c r="D56" s="258"/>
      <c r="E56" s="257">
        <v>110000053342</v>
      </c>
      <c r="F56" s="258">
        <v>144492578.03999999</v>
      </c>
      <c r="G56" s="142"/>
    </row>
    <row r="57" spans="2:7" x14ac:dyDescent="0.25">
      <c r="B57" s="257"/>
      <c r="C57" s="258"/>
      <c r="D57" s="258"/>
      <c r="E57" s="257">
        <v>110000055015</v>
      </c>
      <c r="F57" s="258">
        <v>15000000</v>
      </c>
      <c r="G57" s="142"/>
    </row>
    <row r="58" spans="2:7" x14ac:dyDescent="0.25">
      <c r="B58" s="257"/>
      <c r="C58" s="258"/>
      <c r="D58" s="258"/>
      <c r="E58" s="257">
        <v>110000052935</v>
      </c>
      <c r="F58" s="258">
        <v>2925441.92</v>
      </c>
    </row>
    <row r="59" spans="2:7" x14ac:dyDescent="0.25">
      <c r="B59" s="257"/>
      <c r="C59" s="258"/>
      <c r="D59" s="258"/>
      <c r="E59" s="257">
        <v>110000083806</v>
      </c>
      <c r="F59" s="258">
        <v>203074.67</v>
      </c>
      <c r="G59" s="142"/>
    </row>
    <row r="60" spans="2:7" x14ac:dyDescent="0.25">
      <c r="B60" s="257"/>
      <c r="C60" s="258"/>
      <c r="D60" s="258"/>
      <c r="E60" s="257">
        <v>110000083815</v>
      </c>
      <c r="F60" s="258">
        <v>93425.72</v>
      </c>
      <c r="G60" s="142"/>
    </row>
    <row r="61" spans="2:7" x14ac:dyDescent="0.25">
      <c r="B61" s="257"/>
      <c r="C61" s="258"/>
      <c r="D61" s="258"/>
      <c r="E61" s="257">
        <v>110000083824</v>
      </c>
      <c r="F61" s="258">
        <v>129016.48</v>
      </c>
      <c r="G61" s="142"/>
    </row>
    <row r="62" spans="2:7" x14ac:dyDescent="0.25">
      <c r="B62" s="257"/>
      <c r="C62" s="258"/>
      <c r="D62" s="258"/>
      <c r="E62" s="257">
        <v>110000083833</v>
      </c>
      <c r="F62" s="258">
        <v>1628234.62</v>
      </c>
    </row>
    <row r="63" spans="2:7" x14ac:dyDescent="0.25">
      <c r="B63" s="257"/>
      <c r="C63" s="258"/>
      <c r="D63" s="258"/>
      <c r="E63" s="257">
        <v>110000083842</v>
      </c>
      <c r="F63" s="258">
        <v>3207485.94</v>
      </c>
      <c r="G63" s="142"/>
    </row>
    <row r="64" spans="2:7" x14ac:dyDescent="0.25">
      <c r="B64" s="257"/>
      <c r="C64" s="258"/>
      <c r="D64" s="258"/>
      <c r="E64" s="257">
        <v>110000083780</v>
      </c>
      <c r="F64" s="258">
        <v>9050867.8300000001</v>
      </c>
      <c r="G64" s="142"/>
    </row>
    <row r="65" spans="2:7" x14ac:dyDescent="0.25">
      <c r="B65" s="257"/>
      <c r="C65" s="258"/>
      <c r="D65" s="258"/>
      <c r="E65" s="257">
        <v>110000083790</v>
      </c>
      <c r="F65" s="258">
        <v>26146455.379999999</v>
      </c>
      <c r="G65" s="142"/>
    </row>
    <row r="66" spans="2:7" x14ac:dyDescent="0.25">
      <c r="B66" s="257"/>
      <c r="C66" s="258"/>
      <c r="D66" s="258"/>
      <c r="E66" s="257">
        <v>110000083851</v>
      </c>
      <c r="F66" s="258">
        <v>786053.12</v>
      </c>
      <c r="G66" s="142"/>
    </row>
    <row r="67" spans="2:7" x14ac:dyDescent="0.25">
      <c r="B67" s="257"/>
      <c r="C67" s="258"/>
      <c r="D67" s="258"/>
      <c r="E67" s="257">
        <v>110000083860</v>
      </c>
      <c r="F67" s="258">
        <v>44505.72</v>
      </c>
      <c r="G67" s="142"/>
    </row>
    <row r="68" spans="2:7" x14ac:dyDescent="0.25">
      <c r="B68" s="257"/>
      <c r="C68" s="258"/>
      <c r="D68" s="258"/>
      <c r="E68" s="257">
        <v>110000083898</v>
      </c>
      <c r="F68" s="258">
        <v>1413550.77</v>
      </c>
    </row>
    <row r="69" spans="2:7" x14ac:dyDescent="0.25">
      <c r="B69" s="257"/>
      <c r="C69" s="258"/>
      <c r="D69" s="258"/>
      <c r="E69" s="257">
        <v>110000083904</v>
      </c>
      <c r="F69" s="258">
        <v>84152.07</v>
      </c>
    </row>
    <row r="70" spans="2:7" x14ac:dyDescent="0.25">
      <c r="B70" s="257"/>
      <c r="C70" s="258"/>
      <c r="D70" s="258"/>
      <c r="E70" s="257">
        <v>110000083870</v>
      </c>
      <c r="F70" s="259">
        <v>7806415.6299999999</v>
      </c>
      <c r="G70" s="142"/>
    </row>
    <row r="71" spans="2:7" x14ac:dyDescent="0.25">
      <c r="B71" s="257"/>
      <c r="C71" s="258"/>
      <c r="D71" s="258"/>
      <c r="E71" s="257">
        <v>110000083889</v>
      </c>
      <c r="F71" s="259">
        <v>12377716.07</v>
      </c>
      <c r="G71" s="142"/>
    </row>
    <row r="72" spans="2:7" x14ac:dyDescent="0.25">
      <c r="B72" s="257"/>
      <c r="C72" s="258"/>
      <c r="D72" s="258"/>
      <c r="E72" s="257">
        <v>110000083996</v>
      </c>
      <c r="F72" s="258">
        <v>937882.96</v>
      </c>
      <c r="G72" s="142"/>
    </row>
    <row r="73" spans="2:7" x14ac:dyDescent="0.25">
      <c r="B73" s="257"/>
      <c r="C73" s="258"/>
      <c r="D73" s="258"/>
      <c r="E73" s="257">
        <v>110000084008</v>
      </c>
      <c r="F73" s="259">
        <v>414738.6</v>
      </c>
    </row>
    <row r="74" spans="2:7" x14ac:dyDescent="0.25">
      <c r="B74" s="257"/>
      <c r="C74" s="258"/>
      <c r="D74" s="258"/>
      <c r="E74" s="257">
        <v>110000084017</v>
      </c>
      <c r="F74" s="258">
        <v>180336.44</v>
      </c>
    </row>
    <row r="75" spans="2:7" x14ac:dyDescent="0.25">
      <c r="B75" s="257"/>
      <c r="C75" s="258"/>
      <c r="D75" s="258"/>
      <c r="E75" s="257">
        <v>110000058643</v>
      </c>
      <c r="F75" s="258">
        <v>5125000</v>
      </c>
      <c r="G75" s="142"/>
    </row>
    <row r="76" spans="2:7" x14ac:dyDescent="0.25">
      <c r="B76" s="257"/>
      <c r="C76" s="258"/>
      <c r="D76" s="258"/>
      <c r="E76" s="257">
        <v>110000058581</v>
      </c>
      <c r="F76" s="258">
        <v>36500662.579999998</v>
      </c>
      <c r="G76" s="142"/>
    </row>
    <row r="77" spans="2:7" x14ac:dyDescent="0.25">
      <c r="B77" s="257"/>
      <c r="C77" s="258"/>
      <c r="D77" s="258"/>
      <c r="E77" s="257">
        <v>110000058590</v>
      </c>
      <c r="F77" s="258">
        <v>69205517.420000002</v>
      </c>
    </row>
    <row r="78" spans="2:7" x14ac:dyDescent="0.25">
      <c r="B78" s="257"/>
      <c r="C78" s="258"/>
      <c r="D78" s="258"/>
      <c r="E78" s="257">
        <v>110000058607</v>
      </c>
      <c r="F78" s="258">
        <v>2746534.21</v>
      </c>
      <c r="G78" s="142"/>
    </row>
    <row r="79" spans="2:7" x14ac:dyDescent="0.25">
      <c r="B79" s="257"/>
      <c r="C79" s="258"/>
      <c r="D79" s="258"/>
      <c r="E79" s="257">
        <v>110000058616</v>
      </c>
      <c r="F79" s="258">
        <v>216629.38</v>
      </c>
      <c r="G79" s="142"/>
    </row>
    <row r="80" spans="2:7" x14ac:dyDescent="0.25">
      <c r="B80" s="257"/>
      <c r="C80" s="258"/>
      <c r="D80" s="258"/>
      <c r="E80" s="257">
        <v>110000084106</v>
      </c>
      <c r="F80" s="258">
        <v>427432.2</v>
      </c>
    </row>
    <row r="81" spans="2:7" x14ac:dyDescent="0.25">
      <c r="B81" s="257"/>
      <c r="C81" s="258"/>
      <c r="D81" s="258"/>
      <c r="E81" s="204">
        <v>110000084115</v>
      </c>
      <c r="F81" s="142">
        <v>29750.16</v>
      </c>
    </row>
    <row r="82" spans="2:7" x14ac:dyDescent="0.25">
      <c r="B82" s="257"/>
      <c r="C82" s="258"/>
      <c r="D82" s="258"/>
      <c r="E82" s="204">
        <v>110000084124</v>
      </c>
      <c r="F82" s="142">
        <v>4339644.96</v>
      </c>
      <c r="G82" s="142"/>
    </row>
    <row r="83" spans="2:7" x14ac:dyDescent="0.25">
      <c r="B83" s="257"/>
      <c r="C83" s="258"/>
      <c r="D83" s="258"/>
      <c r="E83" s="204">
        <v>110000084133</v>
      </c>
      <c r="F83" s="142">
        <v>6626028.7699999996</v>
      </c>
      <c r="G83" s="142"/>
    </row>
    <row r="84" spans="2:7" x14ac:dyDescent="0.25">
      <c r="B84" s="257"/>
      <c r="C84" s="258"/>
      <c r="D84" s="258"/>
      <c r="E84" s="204">
        <v>110000083216</v>
      </c>
      <c r="F84" s="142">
        <v>5799100</v>
      </c>
      <c r="G84" s="142"/>
    </row>
    <row r="85" spans="2:7" x14ac:dyDescent="0.25">
      <c r="B85" s="257"/>
      <c r="C85" s="258"/>
      <c r="D85" s="258"/>
      <c r="E85" s="204">
        <v>110000083225</v>
      </c>
      <c r="F85" s="142">
        <v>57993412.240000002</v>
      </c>
      <c r="G85" s="142"/>
    </row>
    <row r="86" spans="2:7" x14ac:dyDescent="0.25">
      <c r="B86" s="257"/>
      <c r="C86" s="258"/>
      <c r="D86" s="258"/>
      <c r="E86" s="204">
        <v>110000083566</v>
      </c>
      <c r="F86" s="142">
        <v>16000000</v>
      </c>
      <c r="G86" s="142"/>
    </row>
    <row r="87" spans="2:7" x14ac:dyDescent="0.25">
      <c r="B87" s="257"/>
      <c r="C87" s="258"/>
      <c r="D87" s="258"/>
      <c r="E87" s="204">
        <v>110000083575</v>
      </c>
      <c r="F87" s="142">
        <v>3200000</v>
      </c>
      <c r="G87" s="142"/>
    </row>
    <row r="88" spans="2:7" x14ac:dyDescent="0.25">
      <c r="B88" s="257"/>
      <c r="C88" s="258"/>
      <c r="D88" s="258"/>
      <c r="E88" s="204">
        <v>110000083771</v>
      </c>
      <c r="F88" s="142">
        <v>3500000</v>
      </c>
      <c r="G88" s="142"/>
    </row>
    <row r="89" spans="2:7" x14ac:dyDescent="0.25">
      <c r="B89" s="257"/>
      <c r="C89" s="258"/>
      <c r="D89" s="258"/>
    </row>
    <row r="90" spans="2:7" x14ac:dyDescent="0.25">
      <c r="B90" s="257"/>
      <c r="C90" s="258"/>
      <c r="D90" s="258"/>
      <c r="G90" s="142"/>
    </row>
    <row r="91" spans="2:7" x14ac:dyDescent="0.25">
      <c r="B91" s="257"/>
      <c r="C91" s="258"/>
      <c r="D91" s="258"/>
      <c r="G91" s="142"/>
    </row>
    <row r="92" spans="2:7" x14ac:dyDescent="0.25">
      <c r="B92" s="257"/>
      <c r="C92" s="258"/>
      <c r="D92" s="258"/>
      <c r="G92" s="142"/>
    </row>
    <row r="93" spans="2:7" x14ac:dyDescent="0.25">
      <c r="B93" s="257"/>
      <c r="C93" s="258"/>
      <c r="D93" s="258"/>
    </row>
    <row r="94" spans="2:7" x14ac:dyDescent="0.25">
      <c r="B94" s="260"/>
      <c r="C94" s="260"/>
      <c r="D94" s="258"/>
    </row>
    <row r="95" spans="2:7" x14ac:dyDescent="0.25">
      <c r="B95" s="260"/>
      <c r="C95" s="260"/>
      <c r="D95" s="258"/>
    </row>
    <row r="96" spans="2:7" x14ac:dyDescent="0.25">
      <c r="B96" s="260"/>
      <c r="C96" s="260"/>
      <c r="D96" s="258"/>
    </row>
    <row r="97" spans="2:5" x14ac:dyDescent="0.25">
      <c r="B97" s="260"/>
      <c r="C97" s="260"/>
      <c r="D97" s="260"/>
    </row>
    <row r="98" spans="2:5" x14ac:dyDescent="0.25">
      <c r="E98"/>
    </row>
    <row r="99" spans="2:5" x14ac:dyDescent="0.25">
      <c r="E99"/>
    </row>
    <row r="100" spans="2:5" x14ac:dyDescent="0.25">
      <c r="E100"/>
    </row>
    <row r="101" spans="2:5" x14ac:dyDescent="0.25">
      <c r="E101"/>
    </row>
    <row r="102" spans="2:5" x14ac:dyDescent="0.25">
      <c r="E102"/>
    </row>
    <row r="103" spans="2:5" x14ac:dyDescent="0.25">
      <c r="E103"/>
    </row>
    <row r="104" spans="2:5" x14ac:dyDescent="0.25">
      <c r="E104"/>
    </row>
  </sheetData>
  <conditionalFormatting sqref="A2:A14">
    <cfRule type="duplicateValues" dxfId="31" priority="377"/>
  </conditionalFormatting>
  <conditionalFormatting sqref="A15:A21">
    <cfRule type="duplicateValues" dxfId="30" priority="191"/>
  </conditionalFormatting>
  <conditionalFormatting sqref="B2:B10">
    <cfRule type="duplicateValues" dxfId="29" priority="375"/>
  </conditionalFormatting>
  <conditionalFormatting sqref="B4:B93 E4:E80 L9:L10">
    <cfRule type="duplicateValues" dxfId="28" priority="374"/>
  </conditionalFormatting>
  <conditionalFormatting sqref="B11:B20">
    <cfRule type="duplicateValues" dxfId="27" priority="189"/>
    <cfRule type="duplicateValues" dxfId="26" priority="319"/>
  </conditionalFormatting>
  <conditionalFormatting sqref="B21">
    <cfRule type="duplicateValues" dxfId="25" priority="29"/>
    <cfRule type="duplicateValues" dxfId="24" priority="30"/>
  </conditionalFormatting>
  <conditionalFormatting sqref="B22:B93">
    <cfRule type="duplicateValues" dxfId="23" priority="372"/>
  </conditionalFormatting>
  <conditionalFormatting sqref="B36:D88 E33:F84 E85">
    <cfRule type="duplicateValues" dxfId="22" priority="10"/>
  </conditionalFormatting>
  <conditionalFormatting sqref="B57:F84 B85:E86">
    <cfRule type="duplicateValues" dxfId="21" priority="8"/>
  </conditionalFormatting>
  <conditionalFormatting sqref="C4:C86">
    <cfRule type="duplicateValues" dxfId="20" priority="12"/>
  </conditionalFormatting>
  <conditionalFormatting sqref="C2:E2">
    <cfRule type="duplicateValues" dxfId="19" priority="355"/>
  </conditionalFormatting>
  <conditionalFormatting sqref="C4:F5 E6:F83 C6:D86 L9:M11">
    <cfRule type="duplicateValues" dxfId="18" priority="11"/>
  </conditionalFormatting>
  <conditionalFormatting sqref="E3:E9 L9:L10">
    <cfRule type="duplicateValues" dxfId="17" priority="360"/>
  </conditionalFormatting>
  <conditionalFormatting sqref="E10:E19">
    <cfRule type="duplicateValues" dxfId="16" priority="24"/>
    <cfRule type="duplicateValues" dxfId="15" priority="25"/>
  </conditionalFormatting>
  <conditionalFormatting sqref="E20">
    <cfRule type="duplicateValues" dxfId="14" priority="22"/>
    <cfRule type="duplicateValues" dxfId="13" priority="23"/>
  </conditionalFormatting>
  <conditionalFormatting sqref="E21:E80">
    <cfRule type="duplicateValues" dxfId="12" priority="368"/>
  </conditionalFormatting>
  <conditionalFormatting sqref="E86">
    <cfRule type="duplicateValues" dxfId="11" priority="9"/>
  </conditionalFormatting>
  <conditionalFormatting sqref="E87">
    <cfRule type="duplicateValues" dxfId="10" priority="6"/>
    <cfRule type="duplicateValues" dxfId="9" priority="7"/>
  </conditionalFormatting>
  <conditionalFormatting sqref="E88">
    <cfRule type="duplicateValues" dxfId="8" priority="4"/>
    <cfRule type="duplicateValues" dxfId="7" priority="5"/>
  </conditionalFormatting>
  <conditionalFormatting sqref="E4:F80 L9:M11 B4:D97">
    <cfRule type="duplicateValues" dxfId="6" priority="13"/>
  </conditionalFormatting>
  <conditionalFormatting sqref="F85:F88">
    <cfRule type="duplicateValues" dxfId="5" priority="1"/>
    <cfRule type="duplicateValues" dxfId="4" priority="2"/>
    <cfRule type="duplicateValues" dxfId="3" priority="3"/>
  </conditionalFormatting>
  <conditionalFormatting sqref="L11">
    <cfRule type="duplicateValues" dxfId="2" priority="14"/>
    <cfRule type="duplicateValues" dxfId="1" priority="15"/>
    <cfRule type="duplicateValues" dxfId="0" priority="16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3"/>
  <sheetViews>
    <sheetView topLeftCell="A52" workbookViewId="0">
      <selection activeCell="B2" sqref="B2:B75"/>
    </sheetView>
  </sheetViews>
  <sheetFormatPr baseColWidth="10" defaultRowHeight="15" x14ac:dyDescent="0.25"/>
  <cols>
    <col min="2" max="2" width="18.85546875" style="204" customWidth="1"/>
    <col min="3" max="3" width="15.42578125" customWidth="1"/>
    <col min="4" max="4" width="25.140625" customWidth="1"/>
    <col min="5" max="8" width="15.42578125" customWidth="1"/>
  </cols>
  <sheetData>
    <row r="2" spans="2:8" x14ac:dyDescent="0.25">
      <c r="B2" s="204">
        <v>110000069772</v>
      </c>
      <c r="C2" t="s">
        <v>200</v>
      </c>
      <c r="D2" t="s">
        <v>201</v>
      </c>
      <c r="E2" s="142">
        <v>205736000</v>
      </c>
      <c r="F2" s="142">
        <v>925812</v>
      </c>
      <c r="G2" t="s">
        <v>225</v>
      </c>
      <c r="H2" t="s">
        <v>202</v>
      </c>
    </row>
    <row r="3" spans="2:8" x14ac:dyDescent="0.25">
      <c r="B3" s="204">
        <v>110000034964</v>
      </c>
      <c r="C3" t="s">
        <v>200</v>
      </c>
      <c r="D3" t="s">
        <v>201</v>
      </c>
      <c r="E3" s="142">
        <v>25309538.07</v>
      </c>
      <c r="F3" s="142">
        <v>29123.31</v>
      </c>
      <c r="G3" t="s">
        <v>226</v>
      </c>
      <c r="H3" t="s">
        <v>202</v>
      </c>
    </row>
    <row r="4" spans="2:8" x14ac:dyDescent="0.25">
      <c r="B4" s="204">
        <v>110000049072</v>
      </c>
      <c r="C4" t="s">
        <v>200</v>
      </c>
      <c r="D4" t="s">
        <v>201</v>
      </c>
      <c r="E4" s="142">
        <v>1468558.75</v>
      </c>
      <c r="F4" s="142">
        <v>3379.7</v>
      </c>
      <c r="G4" t="s">
        <v>227</v>
      </c>
      <c r="H4" t="s">
        <v>202</v>
      </c>
    </row>
    <row r="5" spans="2:8" x14ac:dyDescent="0.25">
      <c r="B5" s="204">
        <v>110000052461</v>
      </c>
      <c r="C5" t="s">
        <v>200</v>
      </c>
      <c r="D5" t="s">
        <v>201</v>
      </c>
      <c r="E5" s="142">
        <v>745869</v>
      </c>
      <c r="F5">
        <v>858.26</v>
      </c>
      <c r="G5" t="s">
        <v>228</v>
      </c>
      <c r="H5" t="s">
        <v>202</v>
      </c>
    </row>
    <row r="6" spans="2:8" x14ac:dyDescent="0.25">
      <c r="B6" s="204">
        <v>110000052935</v>
      </c>
      <c r="C6" t="s">
        <v>200</v>
      </c>
      <c r="D6" t="s">
        <v>201</v>
      </c>
      <c r="E6" s="142">
        <v>2925441.92</v>
      </c>
      <c r="F6" s="142">
        <v>7293.57</v>
      </c>
      <c r="G6" t="s">
        <v>229</v>
      </c>
      <c r="H6" t="s">
        <v>202</v>
      </c>
    </row>
    <row r="7" spans="2:8" x14ac:dyDescent="0.25">
      <c r="B7" s="204">
        <v>110000055015</v>
      </c>
      <c r="C7" t="s">
        <v>200</v>
      </c>
      <c r="D7" t="s">
        <v>201</v>
      </c>
      <c r="E7" s="142">
        <v>15000000</v>
      </c>
      <c r="F7" s="142">
        <v>18698.63</v>
      </c>
      <c r="G7" t="s">
        <v>230</v>
      </c>
      <c r="H7" t="s">
        <v>202</v>
      </c>
    </row>
    <row r="8" spans="2:8" x14ac:dyDescent="0.25">
      <c r="B8" s="204">
        <v>110000058090</v>
      </c>
      <c r="C8" t="s">
        <v>200</v>
      </c>
      <c r="D8" t="s">
        <v>201</v>
      </c>
      <c r="E8" s="142">
        <v>9411663.8200000003</v>
      </c>
      <c r="F8" s="142">
        <v>5685.68</v>
      </c>
      <c r="G8" t="s">
        <v>231</v>
      </c>
      <c r="H8" t="s">
        <v>202</v>
      </c>
    </row>
    <row r="9" spans="2:8" x14ac:dyDescent="0.25">
      <c r="B9" s="204">
        <v>110000058115</v>
      </c>
      <c r="C9" t="s">
        <v>200</v>
      </c>
      <c r="D9" t="s">
        <v>201</v>
      </c>
      <c r="E9" s="142">
        <v>747863.42</v>
      </c>
      <c r="F9">
        <v>451.79</v>
      </c>
      <c r="G9" t="s">
        <v>232</v>
      </c>
      <c r="H9" t="s">
        <v>202</v>
      </c>
    </row>
    <row r="10" spans="2:8" x14ac:dyDescent="0.25">
      <c r="B10" s="204">
        <v>110000058124</v>
      </c>
      <c r="C10" t="s">
        <v>200</v>
      </c>
      <c r="D10" t="s">
        <v>201</v>
      </c>
      <c r="E10" s="142">
        <v>19953269.760000002</v>
      </c>
      <c r="F10" s="142">
        <v>12053.96</v>
      </c>
      <c r="G10" t="s">
        <v>233</v>
      </c>
      <c r="H10" t="s">
        <v>202</v>
      </c>
    </row>
    <row r="11" spans="2:8" x14ac:dyDescent="0.25">
      <c r="B11" s="204">
        <v>110000082999</v>
      </c>
      <c r="C11" t="s">
        <v>200</v>
      </c>
      <c r="D11" t="s">
        <v>203</v>
      </c>
      <c r="E11" s="142">
        <v>88943771.780000001</v>
      </c>
      <c r="F11" s="142">
        <v>180811.73</v>
      </c>
      <c r="G11" t="s">
        <v>234</v>
      </c>
      <c r="H11" t="s">
        <v>202</v>
      </c>
    </row>
    <row r="12" spans="2:8" x14ac:dyDescent="0.25">
      <c r="B12" s="204">
        <v>110000083000</v>
      </c>
      <c r="C12" t="s">
        <v>200</v>
      </c>
      <c r="D12" t="s">
        <v>203</v>
      </c>
      <c r="E12" s="142">
        <v>26112559.23</v>
      </c>
      <c r="F12" s="142">
        <v>53083.62</v>
      </c>
      <c r="G12" t="s">
        <v>235</v>
      </c>
      <c r="H12" t="s">
        <v>202</v>
      </c>
    </row>
    <row r="13" spans="2:8" x14ac:dyDescent="0.25">
      <c r="B13" s="204">
        <v>110000083010</v>
      </c>
      <c r="C13" t="s">
        <v>200</v>
      </c>
      <c r="D13" t="s">
        <v>203</v>
      </c>
      <c r="E13" s="142">
        <v>9596722.8300000001</v>
      </c>
      <c r="F13" s="142">
        <v>19508.96</v>
      </c>
      <c r="G13" t="s">
        <v>236</v>
      </c>
      <c r="H13" t="s">
        <v>202</v>
      </c>
    </row>
    <row r="14" spans="2:8" x14ac:dyDescent="0.25">
      <c r="B14" s="204">
        <v>110000083029</v>
      </c>
      <c r="C14" t="s">
        <v>200</v>
      </c>
      <c r="D14" t="s">
        <v>203</v>
      </c>
      <c r="E14" s="142">
        <v>189800045.22999999</v>
      </c>
      <c r="F14" s="142">
        <v>385840.1</v>
      </c>
      <c r="G14" t="s">
        <v>237</v>
      </c>
      <c r="H14" t="s">
        <v>202</v>
      </c>
    </row>
    <row r="15" spans="2:8" x14ac:dyDescent="0.25">
      <c r="B15" s="204">
        <v>110000083038</v>
      </c>
      <c r="C15" t="s">
        <v>200</v>
      </c>
      <c r="D15" t="s">
        <v>203</v>
      </c>
      <c r="E15" s="142">
        <v>212080346.53999999</v>
      </c>
      <c r="F15" s="142">
        <v>431133.2</v>
      </c>
      <c r="G15" t="s">
        <v>238</v>
      </c>
      <c r="H15" t="s">
        <v>202</v>
      </c>
    </row>
    <row r="16" spans="2:8" x14ac:dyDescent="0.25">
      <c r="B16" s="204">
        <v>110000083047</v>
      </c>
      <c r="C16" t="s">
        <v>200</v>
      </c>
      <c r="D16" t="s">
        <v>203</v>
      </c>
      <c r="E16" s="142">
        <v>93106.66</v>
      </c>
      <c r="F16">
        <v>189.28</v>
      </c>
      <c r="G16" t="s">
        <v>239</v>
      </c>
      <c r="H16" t="s">
        <v>202</v>
      </c>
    </row>
    <row r="17" spans="2:8" x14ac:dyDescent="0.25">
      <c r="B17" s="204">
        <v>110000083056</v>
      </c>
      <c r="C17" t="s">
        <v>200</v>
      </c>
      <c r="D17" t="s">
        <v>203</v>
      </c>
      <c r="E17" s="142">
        <v>573969.68000000005</v>
      </c>
      <c r="F17" s="142">
        <v>1166.81</v>
      </c>
      <c r="G17" t="s">
        <v>240</v>
      </c>
      <c r="H17" t="s">
        <v>202</v>
      </c>
    </row>
    <row r="18" spans="2:8" x14ac:dyDescent="0.25">
      <c r="B18" s="204">
        <v>110000083065</v>
      </c>
      <c r="C18" t="s">
        <v>200</v>
      </c>
      <c r="D18" t="s">
        <v>203</v>
      </c>
      <c r="E18" s="142">
        <v>1636784.18</v>
      </c>
      <c r="F18" s="142">
        <v>3327.38</v>
      </c>
      <c r="G18" t="s">
        <v>241</v>
      </c>
      <c r="H18" t="s">
        <v>202</v>
      </c>
    </row>
    <row r="19" spans="2:8" x14ac:dyDescent="0.25">
      <c r="B19" s="204">
        <v>110000083074</v>
      </c>
      <c r="C19" t="s">
        <v>200</v>
      </c>
      <c r="D19" t="s">
        <v>203</v>
      </c>
      <c r="E19" s="142">
        <v>3119609.91</v>
      </c>
      <c r="F19" s="142">
        <v>6341.79</v>
      </c>
      <c r="G19" t="s">
        <v>242</v>
      </c>
      <c r="H19" t="s">
        <v>202</v>
      </c>
    </row>
    <row r="20" spans="2:8" x14ac:dyDescent="0.25">
      <c r="B20" s="204">
        <v>110000083083</v>
      </c>
      <c r="C20" t="s">
        <v>200</v>
      </c>
      <c r="D20" t="s">
        <v>203</v>
      </c>
      <c r="E20" s="142">
        <v>22576.35</v>
      </c>
      <c r="F20">
        <v>45.89</v>
      </c>
      <c r="G20" t="s">
        <v>243</v>
      </c>
      <c r="H20" t="s">
        <v>202</v>
      </c>
    </row>
    <row r="21" spans="2:8" x14ac:dyDescent="0.25">
      <c r="B21" s="204">
        <v>110000083092</v>
      </c>
      <c r="C21" t="s">
        <v>200</v>
      </c>
      <c r="D21" t="s">
        <v>203</v>
      </c>
      <c r="E21" s="142">
        <v>1064439.6299999999</v>
      </c>
      <c r="F21" s="142">
        <v>2163.88</v>
      </c>
      <c r="G21" t="s">
        <v>244</v>
      </c>
      <c r="H21" t="s">
        <v>202</v>
      </c>
    </row>
    <row r="22" spans="2:8" x14ac:dyDescent="0.25">
      <c r="B22" s="204">
        <v>110000083109</v>
      </c>
      <c r="C22" t="s">
        <v>200</v>
      </c>
      <c r="D22" t="s">
        <v>203</v>
      </c>
      <c r="E22" s="142">
        <v>3870391.05</v>
      </c>
      <c r="F22" s="142">
        <v>7868.03</v>
      </c>
      <c r="G22" t="s">
        <v>245</v>
      </c>
      <c r="H22" t="s">
        <v>202</v>
      </c>
    </row>
    <row r="23" spans="2:8" x14ac:dyDescent="0.25">
      <c r="B23" s="204">
        <v>110000083118</v>
      </c>
      <c r="C23" t="s">
        <v>200</v>
      </c>
      <c r="D23" t="s">
        <v>203</v>
      </c>
      <c r="E23" s="142">
        <v>8261248.6799999997</v>
      </c>
      <c r="F23" s="142">
        <v>16794.099999999999</v>
      </c>
      <c r="G23" t="s">
        <v>246</v>
      </c>
      <c r="H23" t="s">
        <v>202</v>
      </c>
    </row>
    <row r="24" spans="2:8" x14ac:dyDescent="0.25">
      <c r="B24" s="204">
        <v>110000083127</v>
      </c>
      <c r="C24" t="s">
        <v>200</v>
      </c>
      <c r="D24" t="s">
        <v>203</v>
      </c>
      <c r="E24" s="142">
        <v>1858681.25</v>
      </c>
      <c r="F24" s="142">
        <v>3778.47</v>
      </c>
      <c r="G24" t="s">
        <v>247</v>
      </c>
      <c r="H24" t="s">
        <v>202</v>
      </c>
    </row>
    <row r="25" spans="2:8" x14ac:dyDescent="0.25">
      <c r="B25" s="204">
        <v>110000083136</v>
      </c>
      <c r="C25" t="s">
        <v>200</v>
      </c>
      <c r="D25" t="s">
        <v>203</v>
      </c>
      <c r="E25" s="142">
        <v>217212.78</v>
      </c>
      <c r="F25">
        <v>441.57</v>
      </c>
      <c r="G25" t="s">
        <v>248</v>
      </c>
      <c r="H25" t="s">
        <v>202</v>
      </c>
    </row>
    <row r="26" spans="2:8" x14ac:dyDescent="0.25">
      <c r="B26" s="204">
        <v>110000083145</v>
      </c>
      <c r="C26" t="s">
        <v>200</v>
      </c>
      <c r="D26" t="s">
        <v>203</v>
      </c>
      <c r="E26" s="142">
        <v>323171.62</v>
      </c>
      <c r="F26">
        <v>656.97</v>
      </c>
      <c r="G26" t="s">
        <v>249</v>
      </c>
      <c r="H26" t="s">
        <v>202</v>
      </c>
    </row>
    <row r="27" spans="2:8" x14ac:dyDescent="0.25">
      <c r="B27" s="204">
        <v>110000083154</v>
      </c>
      <c r="C27" t="s">
        <v>200</v>
      </c>
      <c r="D27" t="s">
        <v>203</v>
      </c>
      <c r="E27" s="142">
        <v>538945.37</v>
      </c>
      <c r="F27" s="142">
        <v>1095.6099999999999</v>
      </c>
      <c r="G27" t="s">
        <v>250</v>
      </c>
      <c r="H27" t="s">
        <v>202</v>
      </c>
    </row>
    <row r="28" spans="2:8" x14ac:dyDescent="0.25">
      <c r="B28" s="204">
        <v>110000083163</v>
      </c>
      <c r="C28" t="s">
        <v>200</v>
      </c>
      <c r="D28" t="s">
        <v>203</v>
      </c>
      <c r="E28" s="142">
        <v>1280495</v>
      </c>
      <c r="F28" s="142">
        <v>2603.09</v>
      </c>
      <c r="G28" t="s">
        <v>251</v>
      </c>
      <c r="H28" t="s">
        <v>202</v>
      </c>
    </row>
    <row r="29" spans="2:8" x14ac:dyDescent="0.25">
      <c r="B29" s="204">
        <v>110000083172</v>
      </c>
      <c r="C29" t="s">
        <v>200</v>
      </c>
      <c r="D29" t="s">
        <v>203</v>
      </c>
      <c r="E29" s="142">
        <v>25222.92</v>
      </c>
      <c r="F29">
        <v>51.27</v>
      </c>
      <c r="G29" t="s">
        <v>252</v>
      </c>
      <c r="H29" t="s">
        <v>202</v>
      </c>
    </row>
    <row r="30" spans="2:8" x14ac:dyDescent="0.25">
      <c r="B30" s="204">
        <v>110000083181</v>
      </c>
      <c r="C30" t="s">
        <v>200</v>
      </c>
      <c r="D30" t="s">
        <v>203</v>
      </c>
      <c r="E30" s="142">
        <v>12500000</v>
      </c>
      <c r="F30" s="142">
        <v>25410.959999999999</v>
      </c>
      <c r="G30" t="s">
        <v>253</v>
      </c>
      <c r="H30" t="s">
        <v>202</v>
      </c>
    </row>
    <row r="31" spans="2:8" x14ac:dyDescent="0.25">
      <c r="B31" s="204">
        <v>110000083190</v>
      </c>
      <c r="C31" t="s">
        <v>200</v>
      </c>
      <c r="D31" t="s">
        <v>203</v>
      </c>
      <c r="E31" s="142">
        <v>11387255.130000001</v>
      </c>
      <c r="F31" s="142">
        <v>23148.89</v>
      </c>
      <c r="G31" t="s">
        <v>254</v>
      </c>
      <c r="H31" t="s">
        <v>202</v>
      </c>
    </row>
    <row r="32" spans="2:8" x14ac:dyDescent="0.25">
      <c r="B32" s="204">
        <v>110000083207</v>
      </c>
      <c r="C32" t="s">
        <v>200</v>
      </c>
      <c r="D32" t="s">
        <v>255</v>
      </c>
      <c r="E32" s="142">
        <v>500000000</v>
      </c>
      <c r="F32" s="142">
        <v>1016438.35</v>
      </c>
      <c r="G32" t="s">
        <v>256</v>
      </c>
      <c r="H32" t="s">
        <v>202</v>
      </c>
    </row>
    <row r="33" spans="2:8" x14ac:dyDescent="0.25">
      <c r="B33" s="204">
        <v>110000083216</v>
      </c>
      <c r="C33" t="s">
        <v>200</v>
      </c>
      <c r="D33" t="s">
        <v>203</v>
      </c>
      <c r="E33" s="142">
        <v>5799100</v>
      </c>
      <c r="F33" s="142">
        <v>11788.85</v>
      </c>
      <c r="G33" t="s">
        <v>257</v>
      </c>
      <c r="H33" t="s">
        <v>202</v>
      </c>
    </row>
    <row r="34" spans="2:8" x14ac:dyDescent="0.25">
      <c r="B34" s="204">
        <v>110000083225</v>
      </c>
      <c r="C34" t="s">
        <v>200</v>
      </c>
      <c r="D34" t="s">
        <v>203</v>
      </c>
      <c r="E34" s="142">
        <v>57993412.240000002</v>
      </c>
      <c r="F34" s="142">
        <v>117893.46</v>
      </c>
      <c r="G34" t="s">
        <v>258</v>
      </c>
      <c r="H34" t="s">
        <v>202</v>
      </c>
    </row>
    <row r="35" spans="2:8" x14ac:dyDescent="0.25">
      <c r="B35" s="204">
        <v>110000083403</v>
      </c>
      <c r="C35" t="s">
        <v>200</v>
      </c>
      <c r="D35" t="s">
        <v>203</v>
      </c>
      <c r="E35" s="142">
        <v>58944.24</v>
      </c>
      <c r="F35">
        <v>29.96</v>
      </c>
      <c r="G35" t="s">
        <v>259</v>
      </c>
      <c r="H35" t="s">
        <v>202</v>
      </c>
    </row>
    <row r="36" spans="2:8" x14ac:dyDescent="0.25">
      <c r="B36" s="204">
        <v>110000083412</v>
      </c>
      <c r="C36" t="s">
        <v>200</v>
      </c>
      <c r="D36" t="s">
        <v>203</v>
      </c>
      <c r="E36" s="142">
        <v>23164.54</v>
      </c>
      <c r="F36">
        <v>11.77</v>
      </c>
      <c r="G36" t="s">
        <v>260</v>
      </c>
      <c r="H36" t="s">
        <v>202</v>
      </c>
    </row>
    <row r="37" spans="2:8" x14ac:dyDescent="0.25">
      <c r="B37" s="204">
        <v>110000083421</v>
      </c>
      <c r="C37" t="s">
        <v>200</v>
      </c>
      <c r="D37" t="s">
        <v>203</v>
      </c>
      <c r="E37" s="142">
        <v>25270.11</v>
      </c>
      <c r="F37">
        <v>12.84</v>
      </c>
      <c r="G37" t="s">
        <v>261</v>
      </c>
      <c r="H37" t="s">
        <v>202</v>
      </c>
    </row>
    <row r="38" spans="2:8" x14ac:dyDescent="0.25">
      <c r="B38" s="204">
        <v>110000083566</v>
      </c>
      <c r="C38" t="s">
        <v>200</v>
      </c>
      <c r="D38" t="s">
        <v>203</v>
      </c>
      <c r="E38" s="142">
        <v>16000000</v>
      </c>
      <c r="F38" s="142">
        <v>44800</v>
      </c>
      <c r="G38" t="s">
        <v>262</v>
      </c>
      <c r="H38" t="s">
        <v>202</v>
      </c>
    </row>
    <row r="39" spans="2:8" x14ac:dyDescent="0.25">
      <c r="B39" s="204">
        <v>110000083575</v>
      </c>
      <c r="C39" t="s">
        <v>200</v>
      </c>
      <c r="D39" t="s">
        <v>203</v>
      </c>
      <c r="E39" s="142">
        <v>3200000</v>
      </c>
      <c r="F39" s="142">
        <v>8960</v>
      </c>
      <c r="G39" t="s">
        <v>263</v>
      </c>
      <c r="H39" t="s">
        <v>202</v>
      </c>
    </row>
    <row r="40" spans="2:8" x14ac:dyDescent="0.25">
      <c r="B40" s="204">
        <v>110000083771</v>
      </c>
      <c r="C40" t="s">
        <v>200</v>
      </c>
      <c r="D40" t="s">
        <v>203</v>
      </c>
      <c r="E40" s="142">
        <v>3500000</v>
      </c>
      <c r="F40" s="142">
        <v>11276.71</v>
      </c>
      <c r="G40" t="s">
        <v>264</v>
      </c>
      <c r="H40" t="s">
        <v>202</v>
      </c>
    </row>
    <row r="41" spans="2:8" x14ac:dyDescent="0.25">
      <c r="B41" s="204">
        <v>110000083780</v>
      </c>
      <c r="C41" t="s">
        <v>200</v>
      </c>
      <c r="D41" t="s">
        <v>203</v>
      </c>
      <c r="E41" s="142">
        <v>9050867.8300000001</v>
      </c>
      <c r="F41" s="142">
        <v>24995.27</v>
      </c>
      <c r="G41" t="s">
        <v>265</v>
      </c>
      <c r="H41" t="s">
        <v>202</v>
      </c>
    </row>
    <row r="42" spans="2:8" x14ac:dyDescent="0.25">
      <c r="B42" s="204">
        <v>110000083790</v>
      </c>
      <c r="C42" t="s">
        <v>200</v>
      </c>
      <c r="D42" t="s">
        <v>203</v>
      </c>
      <c r="E42" s="142">
        <v>26146455.379999999</v>
      </c>
      <c r="F42" s="142">
        <v>72207.199999999997</v>
      </c>
      <c r="G42" t="s">
        <v>266</v>
      </c>
      <c r="H42" t="s">
        <v>202</v>
      </c>
    </row>
    <row r="43" spans="2:8" x14ac:dyDescent="0.25">
      <c r="B43" s="204">
        <v>110000083806</v>
      </c>
      <c r="C43" t="s">
        <v>200</v>
      </c>
      <c r="D43" t="s">
        <v>203</v>
      </c>
      <c r="E43" s="142">
        <v>203074.67</v>
      </c>
      <c r="F43">
        <v>560.82000000000005</v>
      </c>
      <c r="G43" t="s">
        <v>267</v>
      </c>
      <c r="H43" t="s">
        <v>202</v>
      </c>
    </row>
    <row r="44" spans="2:8" x14ac:dyDescent="0.25">
      <c r="B44" s="204">
        <v>110000083815</v>
      </c>
      <c r="C44" t="s">
        <v>200</v>
      </c>
      <c r="D44" t="s">
        <v>203</v>
      </c>
      <c r="E44" s="142">
        <v>93425.72</v>
      </c>
      <c r="F44">
        <v>258.01</v>
      </c>
      <c r="G44" t="s">
        <v>268</v>
      </c>
      <c r="H44" t="s">
        <v>202</v>
      </c>
    </row>
    <row r="45" spans="2:8" x14ac:dyDescent="0.25">
      <c r="B45" s="204">
        <v>110000083824</v>
      </c>
      <c r="C45" t="s">
        <v>200</v>
      </c>
      <c r="D45" t="s">
        <v>203</v>
      </c>
      <c r="E45" s="142">
        <v>129016.48</v>
      </c>
      <c r="F45">
        <v>356.3</v>
      </c>
      <c r="G45" t="s">
        <v>269</v>
      </c>
      <c r="H45" t="s">
        <v>202</v>
      </c>
    </row>
    <row r="46" spans="2:8" x14ac:dyDescent="0.25">
      <c r="B46" s="204">
        <v>110000083833</v>
      </c>
      <c r="C46" t="s">
        <v>200</v>
      </c>
      <c r="D46" t="s">
        <v>203</v>
      </c>
      <c r="E46" s="142">
        <v>1628234.62</v>
      </c>
      <c r="F46" s="142">
        <v>4496.6000000000004</v>
      </c>
      <c r="G46" t="s">
        <v>270</v>
      </c>
      <c r="H46" t="s">
        <v>202</v>
      </c>
    </row>
    <row r="47" spans="2:8" x14ac:dyDescent="0.25">
      <c r="B47" s="204">
        <v>110000083842</v>
      </c>
      <c r="C47" t="s">
        <v>200</v>
      </c>
      <c r="D47" t="s">
        <v>203</v>
      </c>
      <c r="E47" s="142">
        <v>3207485.94</v>
      </c>
      <c r="F47" s="142">
        <v>8857.93</v>
      </c>
      <c r="G47" t="s">
        <v>271</v>
      </c>
      <c r="H47" t="s">
        <v>202</v>
      </c>
    </row>
    <row r="48" spans="2:8" x14ac:dyDescent="0.25">
      <c r="B48" s="204">
        <v>110000083851</v>
      </c>
      <c r="C48" t="s">
        <v>200</v>
      </c>
      <c r="D48" t="s">
        <v>203</v>
      </c>
      <c r="E48" s="142">
        <v>786053.12</v>
      </c>
      <c r="F48" s="142">
        <v>2170.8000000000002</v>
      </c>
      <c r="G48" t="s">
        <v>272</v>
      </c>
      <c r="H48" t="s">
        <v>202</v>
      </c>
    </row>
    <row r="49" spans="2:8" x14ac:dyDescent="0.25">
      <c r="B49" s="204">
        <v>110000083860</v>
      </c>
      <c r="C49" t="s">
        <v>200</v>
      </c>
      <c r="D49" t="s">
        <v>203</v>
      </c>
      <c r="E49" s="142">
        <v>44505.72</v>
      </c>
      <c r="F49">
        <v>122.9</v>
      </c>
      <c r="G49" t="s">
        <v>273</v>
      </c>
      <c r="H49" t="s">
        <v>202</v>
      </c>
    </row>
    <row r="50" spans="2:8" x14ac:dyDescent="0.25">
      <c r="B50" s="204">
        <v>110000083870</v>
      </c>
      <c r="C50" t="s">
        <v>200</v>
      </c>
      <c r="D50" t="s">
        <v>203</v>
      </c>
      <c r="E50" s="142">
        <v>7806415.6299999999</v>
      </c>
      <c r="F50" s="142">
        <v>21558.54</v>
      </c>
      <c r="G50" t="s">
        <v>274</v>
      </c>
      <c r="H50" t="s">
        <v>202</v>
      </c>
    </row>
    <row r="51" spans="2:8" x14ac:dyDescent="0.25">
      <c r="B51" s="204">
        <v>110000083889</v>
      </c>
      <c r="C51" t="s">
        <v>200</v>
      </c>
      <c r="D51" t="s">
        <v>203</v>
      </c>
      <c r="E51" s="142">
        <v>12377716.07</v>
      </c>
      <c r="F51" s="142">
        <v>34182.839999999997</v>
      </c>
      <c r="G51" t="s">
        <v>275</v>
      </c>
      <c r="H51" t="s">
        <v>202</v>
      </c>
    </row>
    <row r="52" spans="2:8" x14ac:dyDescent="0.25">
      <c r="B52" s="204">
        <v>110000083898</v>
      </c>
      <c r="C52" t="s">
        <v>200</v>
      </c>
      <c r="D52" t="s">
        <v>203</v>
      </c>
      <c r="E52" s="142">
        <v>1413550.77</v>
      </c>
      <c r="F52" s="142">
        <v>3903.73</v>
      </c>
      <c r="G52" t="s">
        <v>276</v>
      </c>
      <c r="H52" t="s">
        <v>202</v>
      </c>
    </row>
    <row r="53" spans="2:8" x14ac:dyDescent="0.25">
      <c r="B53" s="204">
        <v>110000083904</v>
      </c>
      <c r="C53" t="s">
        <v>200</v>
      </c>
      <c r="D53" t="s">
        <v>203</v>
      </c>
      <c r="E53" s="142">
        <v>84152.07</v>
      </c>
      <c r="F53">
        <v>232.4</v>
      </c>
      <c r="G53" t="s">
        <v>277</v>
      </c>
      <c r="H53" t="s">
        <v>202</v>
      </c>
    </row>
    <row r="54" spans="2:8" x14ac:dyDescent="0.25">
      <c r="B54" s="204">
        <v>110000083913</v>
      </c>
      <c r="C54" t="s">
        <v>200</v>
      </c>
      <c r="D54" t="s">
        <v>203</v>
      </c>
      <c r="E54" s="142">
        <v>2783744.44</v>
      </c>
      <c r="F54" s="142">
        <v>4290.0200000000004</v>
      </c>
      <c r="G54" t="s">
        <v>278</v>
      </c>
      <c r="H54" t="s">
        <v>202</v>
      </c>
    </row>
    <row r="55" spans="2:8" x14ac:dyDescent="0.25">
      <c r="B55" s="204">
        <v>110000083996</v>
      </c>
      <c r="C55" t="s">
        <v>200</v>
      </c>
      <c r="D55" t="s">
        <v>203</v>
      </c>
      <c r="E55" s="142">
        <v>937882.96</v>
      </c>
      <c r="F55" s="142">
        <v>1780.69</v>
      </c>
      <c r="G55" t="s">
        <v>279</v>
      </c>
      <c r="H55" t="s">
        <v>202</v>
      </c>
    </row>
    <row r="56" spans="2:8" x14ac:dyDescent="0.25">
      <c r="B56" s="204">
        <v>110000084008</v>
      </c>
      <c r="C56" t="s">
        <v>200</v>
      </c>
      <c r="D56" t="s">
        <v>203</v>
      </c>
      <c r="E56" s="142">
        <v>414738.6</v>
      </c>
      <c r="F56">
        <v>787.43</v>
      </c>
      <c r="G56" t="s">
        <v>280</v>
      </c>
      <c r="H56" t="s">
        <v>202</v>
      </c>
    </row>
    <row r="57" spans="2:8" x14ac:dyDescent="0.25">
      <c r="B57" s="204">
        <v>110000084017</v>
      </c>
      <c r="C57" t="s">
        <v>200</v>
      </c>
      <c r="D57" t="s">
        <v>203</v>
      </c>
      <c r="E57" s="142">
        <v>180336.44</v>
      </c>
      <c r="F57">
        <v>342.39</v>
      </c>
      <c r="G57" t="s">
        <v>281</v>
      </c>
      <c r="H57" t="s">
        <v>202</v>
      </c>
    </row>
    <row r="58" spans="2:8" x14ac:dyDescent="0.25">
      <c r="B58" s="204">
        <v>110000084035</v>
      </c>
      <c r="C58" t="s">
        <v>200</v>
      </c>
      <c r="D58" t="s">
        <v>203</v>
      </c>
      <c r="E58" s="142">
        <v>12411797.550000001</v>
      </c>
      <c r="F58" s="142">
        <v>31369.55</v>
      </c>
      <c r="G58" t="s">
        <v>282</v>
      </c>
      <c r="H58" t="s">
        <v>202</v>
      </c>
    </row>
    <row r="59" spans="2:8" x14ac:dyDescent="0.25">
      <c r="B59" s="204">
        <v>110000084231</v>
      </c>
      <c r="C59" t="s">
        <v>200</v>
      </c>
      <c r="D59" t="s">
        <v>203</v>
      </c>
      <c r="E59" s="142">
        <v>10134909.630000001</v>
      </c>
      <c r="F59" s="142">
        <v>15618.87</v>
      </c>
      <c r="G59" t="s">
        <v>283</v>
      </c>
      <c r="H59" t="s">
        <v>202</v>
      </c>
    </row>
    <row r="60" spans="2:8" x14ac:dyDescent="0.25">
      <c r="B60" s="204">
        <v>110000084311</v>
      </c>
      <c r="C60" t="s">
        <v>200</v>
      </c>
      <c r="D60" t="s">
        <v>203</v>
      </c>
      <c r="E60" s="142">
        <v>4107733.11</v>
      </c>
      <c r="F60" s="142">
        <v>4811.12</v>
      </c>
      <c r="G60" t="s">
        <v>284</v>
      </c>
      <c r="H60" t="s">
        <v>202</v>
      </c>
    </row>
    <row r="61" spans="2:8" x14ac:dyDescent="0.25">
      <c r="B61" s="204">
        <v>110000084320</v>
      </c>
      <c r="C61" t="s">
        <v>200</v>
      </c>
      <c r="D61" t="s">
        <v>203</v>
      </c>
      <c r="E61" s="142">
        <v>984986.81</v>
      </c>
      <c r="F61">
        <v>789.33</v>
      </c>
      <c r="G61" t="s">
        <v>285</v>
      </c>
      <c r="H61" t="s">
        <v>202</v>
      </c>
    </row>
    <row r="62" spans="2:8" x14ac:dyDescent="0.25">
      <c r="B62" s="204">
        <v>110000084330</v>
      </c>
      <c r="C62" t="s">
        <v>200</v>
      </c>
      <c r="D62" t="s">
        <v>203</v>
      </c>
      <c r="E62" s="142">
        <v>3092594.03</v>
      </c>
      <c r="F62" s="142">
        <v>2097.0300000000002</v>
      </c>
      <c r="G62" t="s">
        <v>286</v>
      </c>
      <c r="H62" t="s">
        <v>202</v>
      </c>
    </row>
    <row r="63" spans="2:8" x14ac:dyDescent="0.25">
      <c r="B63" s="204">
        <v>110000084483</v>
      </c>
      <c r="C63" t="s">
        <v>200</v>
      </c>
      <c r="D63" t="s">
        <v>203</v>
      </c>
      <c r="E63" s="142">
        <v>1400803.08</v>
      </c>
      <c r="F63">
        <v>0</v>
      </c>
      <c r="G63" t="s">
        <v>287</v>
      </c>
      <c r="H63" t="s">
        <v>202</v>
      </c>
    </row>
    <row r="64" spans="2:8" x14ac:dyDescent="0.25">
      <c r="B64" s="204">
        <v>110000084616</v>
      </c>
      <c r="C64" t="s">
        <v>200</v>
      </c>
      <c r="D64" t="s">
        <v>203</v>
      </c>
      <c r="E64" s="142">
        <v>95192.63</v>
      </c>
      <c r="F64">
        <v>173.43</v>
      </c>
      <c r="G64" t="s">
        <v>288</v>
      </c>
      <c r="H64" t="s">
        <v>202</v>
      </c>
    </row>
    <row r="65" spans="2:8" x14ac:dyDescent="0.25">
      <c r="B65" s="204">
        <v>110000084625</v>
      </c>
      <c r="C65" t="s">
        <v>200</v>
      </c>
      <c r="D65" t="s">
        <v>203</v>
      </c>
      <c r="E65" s="142">
        <v>241032.87</v>
      </c>
      <c r="F65">
        <v>439.14</v>
      </c>
      <c r="G65" t="s">
        <v>289</v>
      </c>
      <c r="H65" t="s">
        <v>202</v>
      </c>
    </row>
    <row r="66" spans="2:8" x14ac:dyDescent="0.25">
      <c r="B66" s="204">
        <v>110000084760</v>
      </c>
      <c r="C66" t="s">
        <v>200</v>
      </c>
      <c r="D66" t="s">
        <v>203</v>
      </c>
      <c r="E66" s="142">
        <v>5748468.9000000004</v>
      </c>
      <c r="F66" s="142">
        <v>3189.22</v>
      </c>
      <c r="G66" t="s">
        <v>290</v>
      </c>
      <c r="H66" t="s">
        <v>202</v>
      </c>
    </row>
    <row r="67" spans="2:8" x14ac:dyDescent="0.25">
      <c r="B67" s="204">
        <v>110000084840</v>
      </c>
      <c r="C67" t="s">
        <v>200</v>
      </c>
      <c r="D67" t="s">
        <v>203</v>
      </c>
      <c r="E67" s="142">
        <v>2770128.35</v>
      </c>
      <c r="F67" s="142">
        <v>4269.04</v>
      </c>
      <c r="G67" t="s">
        <v>291</v>
      </c>
      <c r="H67" t="s">
        <v>202</v>
      </c>
    </row>
    <row r="68" spans="2:8" x14ac:dyDescent="0.25">
      <c r="B68" s="204">
        <v>110000084901</v>
      </c>
      <c r="C68" t="s">
        <v>200</v>
      </c>
      <c r="D68" t="s">
        <v>203</v>
      </c>
      <c r="E68" s="142">
        <v>2927856.78</v>
      </c>
      <c r="F68" s="142">
        <v>4331.62</v>
      </c>
      <c r="G68" t="s">
        <v>292</v>
      </c>
      <c r="H68" t="s">
        <v>202</v>
      </c>
    </row>
    <row r="69" spans="2:8" x14ac:dyDescent="0.25">
      <c r="B69" s="204">
        <v>110000053315</v>
      </c>
      <c r="C69" t="s">
        <v>200</v>
      </c>
      <c r="D69" t="s">
        <v>201</v>
      </c>
      <c r="E69" s="142">
        <v>132928772.23</v>
      </c>
      <c r="F69" s="142">
        <v>331411.46000000002</v>
      </c>
      <c r="G69" t="s">
        <v>293</v>
      </c>
      <c r="H69" t="s">
        <v>202</v>
      </c>
    </row>
    <row r="70" spans="2:8" x14ac:dyDescent="0.25">
      <c r="B70" s="204">
        <v>110000053324</v>
      </c>
      <c r="C70" t="s">
        <v>200</v>
      </c>
      <c r="D70" t="s">
        <v>201</v>
      </c>
      <c r="E70" s="142">
        <v>9698013.7899999991</v>
      </c>
      <c r="F70" s="142">
        <v>24178.61</v>
      </c>
      <c r="G70" t="s">
        <v>294</v>
      </c>
      <c r="H70" t="s">
        <v>202</v>
      </c>
    </row>
    <row r="71" spans="2:8" x14ac:dyDescent="0.25">
      <c r="B71" s="204">
        <v>110000053333</v>
      </c>
      <c r="C71" t="s">
        <v>200</v>
      </c>
      <c r="D71" t="s">
        <v>201</v>
      </c>
      <c r="E71" s="142">
        <v>725842.91</v>
      </c>
      <c r="F71" s="142">
        <v>1809.64</v>
      </c>
      <c r="G71" t="s">
        <v>295</v>
      </c>
      <c r="H71" t="s">
        <v>202</v>
      </c>
    </row>
    <row r="72" spans="2:8" x14ac:dyDescent="0.25">
      <c r="B72" s="204">
        <v>110000053342</v>
      </c>
      <c r="C72" t="s">
        <v>200</v>
      </c>
      <c r="D72" t="s">
        <v>201</v>
      </c>
      <c r="E72" s="142">
        <v>144492578.03999999</v>
      </c>
      <c r="F72" s="142">
        <v>360241.77</v>
      </c>
      <c r="G72" t="s">
        <v>296</v>
      </c>
      <c r="H72" t="s">
        <v>202</v>
      </c>
    </row>
    <row r="73" spans="2:8" x14ac:dyDescent="0.25">
      <c r="B73" s="204">
        <v>110000058581</v>
      </c>
      <c r="C73" t="s">
        <v>200</v>
      </c>
      <c r="D73" t="s">
        <v>201</v>
      </c>
      <c r="E73" s="142">
        <v>36500662.579999998</v>
      </c>
      <c r="F73" s="142">
        <v>92401.67</v>
      </c>
      <c r="G73" t="s">
        <v>297</v>
      </c>
      <c r="H73" t="s">
        <v>202</v>
      </c>
    </row>
    <row r="74" spans="2:8" x14ac:dyDescent="0.25">
      <c r="B74" s="204">
        <v>110000058590</v>
      </c>
      <c r="C74" t="s">
        <v>200</v>
      </c>
      <c r="D74" t="s">
        <v>201</v>
      </c>
      <c r="E74" s="142">
        <v>69205517.420000002</v>
      </c>
      <c r="F74" s="142">
        <v>175194.23999999999</v>
      </c>
      <c r="G74" t="s">
        <v>298</v>
      </c>
      <c r="H74" t="s">
        <v>202</v>
      </c>
    </row>
    <row r="75" spans="2:8" x14ac:dyDescent="0.25">
      <c r="B75" s="204">
        <v>110000058607</v>
      </c>
      <c r="C75" t="s">
        <v>200</v>
      </c>
      <c r="D75" t="s">
        <v>201</v>
      </c>
      <c r="E75" s="142">
        <v>2746534.21</v>
      </c>
      <c r="F75" s="142">
        <v>6952.87</v>
      </c>
      <c r="G75" t="s">
        <v>299</v>
      </c>
      <c r="H75" t="s">
        <v>202</v>
      </c>
    </row>
    <row r="76" spans="2:8" x14ac:dyDescent="0.25">
      <c r="B76" s="204">
        <v>110000058616</v>
      </c>
      <c r="C76" t="s">
        <v>200</v>
      </c>
      <c r="D76" t="s">
        <v>201</v>
      </c>
      <c r="E76" s="142">
        <v>216629.38</v>
      </c>
      <c r="F76">
        <v>548.4</v>
      </c>
      <c r="G76" t="s">
        <v>300</v>
      </c>
      <c r="H76" t="s">
        <v>202</v>
      </c>
    </row>
    <row r="77" spans="2:8" x14ac:dyDescent="0.25">
      <c r="B77" s="204">
        <v>110000058643</v>
      </c>
      <c r="C77" t="s">
        <v>200</v>
      </c>
      <c r="D77" t="s">
        <v>201</v>
      </c>
      <c r="E77" s="142">
        <v>5125000</v>
      </c>
      <c r="F77" s="142">
        <v>12973.98</v>
      </c>
      <c r="G77" t="s">
        <v>301</v>
      </c>
      <c r="H77" t="s">
        <v>202</v>
      </c>
    </row>
    <row r="78" spans="2:8" x14ac:dyDescent="0.25">
      <c r="B78" s="204">
        <v>110000060042</v>
      </c>
      <c r="C78" t="s">
        <v>200</v>
      </c>
      <c r="D78" t="s">
        <v>201</v>
      </c>
      <c r="E78" s="142">
        <v>14213000</v>
      </c>
      <c r="F78" s="142">
        <v>34344.839999999997</v>
      </c>
      <c r="G78" t="s">
        <v>302</v>
      </c>
      <c r="H78" t="s">
        <v>202</v>
      </c>
    </row>
    <row r="79" spans="2:8" x14ac:dyDescent="0.25">
      <c r="B79" s="204">
        <v>110000060392</v>
      </c>
      <c r="C79" t="s">
        <v>200</v>
      </c>
      <c r="D79" t="s">
        <v>201</v>
      </c>
      <c r="E79" s="142">
        <v>3097662</v>
      </c>
      <c r="F79" s="142">
        <v>1871.33</v>
      </c>
      <c r="G79" t="s">
        <v>303</v>
      </c>
      <c r="H79" t="s">
        <v>202</v>
      </c>
    </row>
    <row r="80" spans="2:8" x14ac:dyDescent="0.25">
      <c r="B80" s="204">
        <v>110000084106</v>
      </c>
      <c r="C80" t="s">
        <v>200</v>
      </c>
      <c r="D80" t="s">
        <v>203</v>
      </c>
      <c r="E80" s="142">
        <v>427432.2</v>
      </c>
      <c r="F80">
        <v>0</v>
      </c>
      <c r="G80" t="s">
        <v>304</v>
      </c>
      <c r="H80" t="s">
        <v>202</v>
      </c>
    </row>
    <row r="81" spans="2:8" x14ac:dyDescent="0.25">
      <c r="B81" s="204">
        <v>110000084115</v>
      </c>
      <c r="C81" t="s">
        <v>200</v>
      </c>
      <c r="D81" t="s">
        <v>203</v>
      </c>
      <c r="E81" s="142">
        <v>29750.16</v>
      </c>
      <c r="F81">
        <v>0</v>
      </c>
      <c r="G81" t="s">
        <v>305</v>
      </c>
      <c r="H81" t="s">
        <v>202</v>
      </c>
    </row>
    <row r="82" spans="2:8" x14ac:dyDescent="0.25">
      <c r="B82" s="204">
        <v>110000084124</v>
      </c>
      <c r="C82" t="s">
        <v>200</v>
      </c>
      <c r="D82" t="s">
        <v>203</v>
      </c>
      <c r="E82" s="142">
        <v>4339644.96</v>
      </c>
      <c r="F82">
        <v>0</v>
      </c>
      <c r="G82" t="s">
        <v>306</v>
      </c>
      <c r="H82" t="s">
        <v>202</v>
      </c>
    </row>
    <row r="83" spans="2:8" x14ac:dyDescent="0.25">
      <c r="B83" s="204">
        <v>110000084133</v>
      </c>
      <c r="C83" t="s">
        <v>200</v>
      </c>
      <c r="D83" t="s">
        <v>203</v>
      </c>
      <c r="E83" s="142">
        <v>6626028.7699999996</v>
      </c>
      <c r="F83">
        <v>0</v>
      </c>
      <c r="G83" t="s">
        <v>307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7" transitionEvaluation="1" codeName="Hoja2">
    <pageSetUpPr fitToPage="1"/>
  </sheetPr>
  <dimension ref="A1:L283"/>
  <sheetViews>
    <sheetView showGridLines="0" view="pageBreakPreview" zoomScale="90" zoomScaleNormal="79" zoomScaleSheetLayoutView="90" zoomScalePageLayoutView="70" workbookViewId="0">
      <pane ySplit="7" topLeftCell="A47" activePane="bottomLeft" state="frozen"/>
      <selection pane="bottomLeft" activeCell="D49" sqref="D49"/>
    </sheetView>
  </sheetViews>
  <sheetFormatPr baseColWidth="10" defaultColWidth="11.7109375" defaultRowHeight="30" customHeight="1" x14ac:dyDescent="0.25"/>
  <cols>
    <col min="1" max="1" width="3.5703125" style="101" customWidth="1"/>
    <col min="2" max="2" width="25.140625" style="10" customWidth="1"/>
    <col min="3" max="3" width="78.85546875" style="10" customWidth="1"/>
    <col min="4" max="5" width="15.42578125" style="10" customWidth="1"/>
    <col min="6" max="6" width="15.42578125" style="19" bestFit="1" customWidth="1"/>
    <col min="7" max="7" width="24" style="10" bestFit="1" customWidth="1"/>
    <col min="8" max="8" width="14.85546875" style="277" customWidth="1"/>
    <col min="9" max="9" width="32.28515625" style="309" bestFit="1" customWidth="1"/>
    <col min="10" max="10" width="47.28515625" style="1" customWidth="1"/>
    <col min="11" max="11" width="19.28515625" style="1" customWidth="1"/>
    <col min="12" max="14" width="11.7109375" style="1"/>
    <col min="15" max="15" width="11.7109375" style="1" customWidth="1"/>
    <col min="16" max="16384" width="11.7109375" style="1"/>
  </cols>
  <sheetData>
    <row r="1" spans="1:10" s="8" customFormat="1" ht="21" customHeight="1" x14ac:dyDescent="0.25">
      <c r="A1" s="115"/>
      <c r="B1" s="196"/>
      <c r="C1" s="37"/>
      <c r="D1" s="37"/>
      <c r="E1" s="37"/>
      <c r="F1" s="199"/>
      <c r="G1" s="197"/>
      <c r="H1" s="256" t="s">
        <v>147</v>
      </c>
      <c r="I1" s="172"/>
    </row>
    <row r="2" spans="1:10" s="5" customFormat="1" ht="30" customHeight="1" x14ac:dyDescent="0.25">
      <c r="A2" s="101"/>
      <c r="B2" s="798" t="s">
        <v>0</v>
      </c>
      <c r="C2" s="786"/>
      <c r="D2" s="786"/>
      <c r="E2" s="786"/>
      <c r="F2" s="786"/>
      <c r="G2" s="786"/>
      <c r="H2" s="787"/>
      <c r="I2" s="309"/>
    </row>
    <row r="3" spans="1:10" s="5" customFormat="1" ht="30" customHeight="1" x14ac:dyDescent="0.25">
      <c r="A3" s="101"/>
      <c r="B3" s="785" t="s">
        <v>30</v>
      </c>
      <c r="C3" s="786"/>
      <c r="D3" s="786"/>
      <c r="E3" s="786"/>
      <c r="F3" s="786"/>
      <c r="G3" s="786"/>
      <c r="H3" s="787"/>
      <c r="I3" s="309"/>
    </row>
    <row r="4" spans="1:10" s="7" customFormat="1" ht="29.25" customHeight="1" x14ac:dyDescent="0.25">
      <c r="A4" s="102"/>
      <c r="B4" s="799" t="s">
        <v>584</v>
      </c>
      <c r="C4" s="800"/>
      <c r="D4" s="800"/>
      <c r="E4" s="800"/>
      <c r="F4" s="800"/>
      <c r="G4" s="800"/>
      <c r="H4" s="801"/>
      <c r="I4" s="172"/>
    </row>
    <row r="5" spans="1:10" ht="75" customHeight="1" x14ac:dyDescent="0.25">
      <c r="B5" s="376" t="s">
        <v>35</v>
      </c>
      <c r="C5" s="376" t="s">
        <v>20</v>
      </c>
      <c r="D5" s="376" t="s">
        <v>376</v>
      </c>
      <c r="E5" s="373" t="s">
        <v>377</v>
      </c>
      <c r="F5" s="376" t="s">
        <v>2</v>
      </c>
      <c r="G5" s="376" t="s">
        <v>21</v>
      </c>
      <c r="H5" s="339" t="s">
        <v>3</v>
      </c>
      <c r="I5" s="418">
        <v>45170</v>
      </c>
    </row>
    <row r="6" spans="1:10" s="8" customFormat="1" ht="27" customHeight="1" x14ac:dyDescent="0.25">
      <c r="A6" s="99"/>
      <c r="B6" s="36"/>
      <c r="C6" s="37"/>
      <c r="D6" s="37"/>
      <c r="E6" s="198" t="s">
        <v>4</v>
      </c>
      <c r="F6" s="199"/>
      <c r="G6" s="200">
        <f>G7+G134+G259+G256+G262+G264+G247+G253</f>
        <v>7162739520.4099998</v>
      </c>
      <c r="H6" s="201"/>
      <c r="I6" s="172"/>
    </row>
    <row r="7" spans="1:10" s="8" customFormat="1" ht="27" customHeight="1" x14ac:dyDescent="0.25">
      <c r="A7" s="99"/>
      <c r="B7" s="802" t="s">
        <v>22</v>
      </c>
      <c r="C7" s="803"/>
      <c r="D7" s="803"/>
      <c r="E7" s="803"/>
      <c r="F7" s="7"/>
      <c r="G7" s="186">
        <f>SUM(G8:G133)</f>
        <v>3805241890.71</v>
      </c>
      <c r="H7" s="202"/>
      <c r="I7" s="312"/>
    </row>
    <row r="8" spans="1:10" s="8" customFormat="1" ht="45" customHeight="1" x14ac:dyDescent="0.25">
      <c r="A8" s="111"/>
      <c r="B8" s="420">
        <v>150000173561</v>
      </c>
      <c r="C8" s="428" t="s">
        <v>493</v>
      </c>
      <c r="D8" s="421">
        <v>45504</v>
      </c>
      <c r="E8" s="421">
        <v>45505</v>
      </c>
      <c r="F8" s="378" t="s">
        <v>585</v>
      </c>
      <c r="G8" s="429">
        <v>500000000</v>
      </c>
      <c r="H8" s="430">
        <v>3.25</v>
      </c>
      <c r="I8" s="371" t="s">
        <v>586</v>
      </c>
    </row>
    <row r="9" spans="1:10" s="8" customFormat="1" ht="45" customHeight="1" x14ac:dyDescent="0.25">
      <c r="A9" s="111"/>
      <c r="B9" s="420">
        <v>150000173570</v>
      </c>
      <c r="C9" s="428" t="s">
        <v>493</v>
      </c>
      <c r="D9" s="421">
        <v>45504</v>
      </c>
      <c r="E9" s="421">
        <v>45505</v>
      </c>
      <c r="F9" s="378" t="s">
        <v>585</v>
      </c>
      <c r="G9" s="429">
        <v>211800000</v>
      </c>
      <c r="H9" s="430">
        <v>3.25</v>
      </c>
      <c r="I9" s="371" t="s">
        <v>586</v>
      </c>
    </row>
    <row r="10" spans="1:10" s="8" customFormat="1" ht="45" hidden="1" customHeight="1" x14ac:dyDescent="0.25">
      <c r="A10" s="111"/>
      <c r="B10" s="420"/>
      <c r="C10" s="428" t="s">
        <v>83</v>
      </c>
      <c r="D10" s="421">
        <v>45504</v>
      </c>
      <c r="E10" s="421">
        <v>45505</v>
      </c>
      <c r="F10" s="378" t="s">
        <v>585</v>
      </c>
      <c r="G10" s="429"/>
      <c r="H10" s="430">
        <v>3.25</v>
      </c>
      <c r="I10" s="371" t="s">
        <v>586</v>
      </c>
    </row>
    <row r="11" spans="1:10" s="8" customFormat="1" ht="45" customHeight="1" x14ac:dyDescent="0.25">
      <c r="A11" s="111"/>
      <c r="B11" s="420">
        <v>150000173580</v>
      </c>
      <c r="C11" s="428" t="s">
        <v>23</v>
      </c>
      <c r="D11" s="421">
        <v>45504</v>
      </c>
      <c r="E11" s="421">
        <v>45505</v>
      </c>
      <c r="F11" s="378" t="s">
        <v>585</v>
      </c>
      <c r="G11" s="429">
        <v>150270000</v>
      </c>
      <c r="H11" s="430">
        <v>3.25</v>
      </c>
      <c r="I11" s="371" t="s">
        <v>586</v>
      </c>
    </row>
    <row r="12" spans="1:10" s="299" customFormat="1" ht="45" customHeight="1" x14ac:dyDescent="0.25">
      <c r="A12" s="298"/>
      <c r="B12" s="420">
        <v>150000173599</v>
      </c>
      <c r="C12" s="428" t="s">
        <v>494</v>
      </c>
      <c r="D12" s="421">
        <v>45504</v>
      </c>
      <c r="E12" s="421">
        <v>45505</v>
      </c>
      <c r="F12" s="378" t="s">
        <v>585</v>
      </c>
      <c r="G12" s="429">
        <v>4913000</v>
      </c>
      <c r="H12" s="430">
        <v>3.25</v>
      </c>
      <c r="I12" s="371" t="s">
        <v>586</v>
      </c>
      <c r="J12" s="369"/>
    </row>
    <row r="13" spans="1:10" s="299" customFormat="1" ht="45" customHeight="1" x14ac:dyDescent="0.25">
      <c r="A13" s="298"/>
      <c r="B13" s="377">
        <v>1500000172152</v>
      </c>
      <c r="C13" s="428" t="s">
        <v>495</v>
      </c>
      <c r="D13" s="378">
        <v>45483</v>
      </c>
      <c r="E13" s="421">
        <v>45512</v>
      </c>
      <c r="F13" s="378" t="s">
        <v>395</v>
      </c>
      <c r="G13" s="379">
        <v>406130423.51999998</v>
      </c>
      <c r="H13" s="430">
        <v>4.12</v>
      </c>
      <c r="I13" s="372" t="s">
        <v>527</v>
      </c>
      <c r="J13" s="369"/>
    </row>
    <row r="14" spans="1:10" s="299" customFormat="1" ht="45" customHeight="1" x14ac:dyDescent="0.25">
      <c r="A14" s="298"/>
      <c r="B14" s="377">
        <v>1500000172170</v>
      </c>
      <c r="C14" s="428" t="s">
        <v>495</v>
      </c>
      <c r="D14" s="378">
        <v>45483</v>
      </c>
      <c r="E14" s="421">
        <v>45512</v>
      </c>
      <c r="F14" s="378" t="s">
        <v>395</v>
      </c>
      <c r="G14" s="379">
        <v>50000000</v>
      </c>
      <c r="H14" s="430">
        <v>4</v>
      </c>
      <c r="I14" s="372" t="s">
        <v>527</v>
      </c>
      <c r="J14" s="369"/>
    </row>
    <row r="15" spans="1:10" s="299" customFormat="1" ht="45" customHeight="1" x14ac:dyDescent="0.25">
      <c r="A15" s="298"/>
      <c r="B15" s="377">
        <v>150000173267</v>
      </c>
      <c r="C15" s="428" t="s">
        <v>526</v>
      </c>
      <c r="D15" s="378">
        <v>45498</v>
      </c>
      <c r="E15" s="421">
        <v>45513</v>
      </c>
      <c r="F15" s="378" t="s">
        <v>582</v>
      </c>
      <c r="G15" s="379">
        <v>100000000</v>
      </c>
      <c r="H15" s="430">
        <v>4</v>
      </c>
      <c r="I15" s="372" t="s">
        <v>583</v>
      </c>
      <c r="J15" s="369"/>
    </row>
    <row r="16" spans="1:10" s="299" customFormat="1" ht="45" customHeight="1" x14ac:dyDescent="0.25">
      <c r="A16" s="298"/>
      <c r="B16" s="377">
        <v>150000172671</v>
      </c>
      <c r="C16" s="428" t="s">
        <v>526</v>
      </c>
      <c r="D16" s="378">
        <v>45490</v>
      </c>
      <c r="E16" s="421">
        <v>45519</v>
      </c>
      <c r="F16" s="378" t="s">
        <v>395</v>
      </c>
      <c r="G16" s="379">
        <v>100000000</v>
      </c>
      <c r="H16" s="430">
        <v>4.09</v>
      </c>
      <c r="I16" s="372" t="s">
        <v>581</v>
      </c>
      <c r="J16" s="369"/>
    </row>
    <row r="17" spans="1:10" s="8" customFormat="1" ht="45" customHeight="1" x14ac:dyDescent="0.25">
      <c r="A17" s="111"/>
      <c r="B17" s="420">
        <v>150000173169</v>
      </c>
      <c r="C17" s="428" t="s">
        <v>511</v>
      </c>
      <c r="D17" s="422">
        <v>45497</v>
      </c>
      <c r="E17" s="421">
        <v>45526</v>
      </c>
      <c r="F17" s="378" t="s">
        <v>395</v>
      </c>
      <c r="G17" s="379">
        <v>77000000</v>
      </c>
      <c r="H17" s="431">
        <v>4.0999999999999996</v>
      </c>
      <c r="I17" s="372" t="s">
        <v>518</v>
      </c>
    </row>
    <row r="18" spans="1:10" s="299" customFormat="1" ht="45" customHeight="1" x14ac:dyDescent="0.25">
      <c r="A18" s="298"/>
      <c r="B18" s="420">
        <v>150000173178</v>
      </c>
      <c r="C18" s="428" t="s">
        <v>511</v>
      </c>
      <c r="D18" s="422">
        <v>45497</v>
      </c>
      <c r="E18" s="421">
        <v>45526</v>
      </c>
      <c r="F18" s="378" t="s">
        <v>395</v>
      </c>
      <c r="G18" s="379">
        <v>492000</v>
      </c>
      <c r="H18" s="431">
        <v>4.0999999999999996</v>
      </c>
      <c r="I18" s="372" t="s">
        <v>518</v>
      </c>
      <c r="J18" s="369"/>
    </row>
    <row r="19" spans="1:10" s="299" customFormat="1" ht="45" customHeight="1" x14ac:dyDescent="0.25">
      <c r="A19" s="298"/>
      <c r="B19" s="420">
        <v>150000173187</v>
      </c>
      <c r="C19" s="428" t="s">
        <v>511</v>
      </c>
      <c r="D19" s="422">
        <v>45497</v>
      </c>
      <c r="E19" s="421">
        <v>45526</v>
      </c>
      <c r="F19" s="378" t="s">
        <v>395</v>
      </c>
      <c r="G19" s="379">
        <v>34000000</v>
      </c>
      <c r="H19" s="431">
        <v>4.0999999999999996</v>
      </c>
      <c r="I19" s="372" t="s">
        <v>518</v>
      </c>
      <c r="J19" s="369"/>
    </row>
    <row r="20" spans="1:10" s="299" customFormat="1" ht="45" customHeight="1" x14ac:dyDescent="0.25">
      <c r="A20" s="298"/>
      <c r="B20" s="180">
        <v>110000088188</v>
      </c>
      <c r="C20" s="181" t="s">
        <v>494</v>
      </c>
      <c r="D20" s="145">
        <v>45226</v>
      </c>
      <c r="E20" s="145">
        <v>45593</v>
      </c>
      <c r="F20" s="144" t="s">
        <v>349</v>
      </c>
      <c r="G20" s="146">
        <v>2250000</v>
      </c>
      <c r="H20" s="167">
        <v>5.15</v>
      </c>
      <c r="I20" s="372" t="s">
        <v>403</v>
      </c>
      <c r="J20" s="369"/>
    </row>
    <row r="21" spans="1:10" s="299" customFormat="1" ht="45" customHeight="1" x14ac:dyDescent="0.25">
      <c r="A21" s="298"/>
      <c r="B21" s="377">
        <v>110000093698</v>
      </c>
      <c r="C21" s="428" t="s">
        <v>496</v>
      </c>
      <c r="D21" s="421">
        <v>45490</v>
      </c>
      <c r="E21" s="421">
        <v>45670</v>
      </c>
      <c r="F21" s="378" t="s">
        <v>530</v>
      </c>
      <c r="G21" s="379">
        <v>26112559.23</v>
      </c>
      <c r="H21" s="430">
        <v>5</v>
      </c>
      <c r="I21" s="372" t="s">
        <v>531</v>
      </c>
      <c r="J21" s="369"/>
    </row>
    <row r="22" spans="1:10" s="299" customFormat="1" ht="45" customHeight="1" x14ac:dyDescent="0.25">
      <c r="A22" s="298"/>
      <c r="B22" s="377">
        <v>110000093704</v>
      </c>
      <c r="C22" s="428" t="s">
        <v>496</v>
      </c>
      <c r="D22" s="421">
        <v>45490</v>
      </c>
      <c r="E22" s="421">
        <v>45670</v>
      </c>
      <c r="F22" s="378" t="s">
        <v>530</v>
      </c>
      <c r="G22" s="379">
        <v>9596722.8300000001</v>
      </c>
      <c r="H22" s="430">
        <v>5</v>
      </c>
      <c r="I22" s="372" t="s">
        <v>531</v>
      </c>
      <c r="J22" s="369"/>
    </row>
    <row r="23" spans="1:10" s="299" customFormat="1" ht="45" customHeight="1" x14ac:dyDescent="0.25">
      <c r="A23" s="298"/>
      <c r="B23" s="143">
        <v>110000086020</v>
      </c>
      <c r="C23" s="311" t="s">
        <v>162</v>
      </c>
      <c r="D23" s="165">
        <v>45072</v>
      </c>
      <c r="E23" s="165">
        <v>45690</v>
      </c>
      <c r="F23" s="164" t="s">
        <v>316</v>
      </c>
      <c r="G23" s="166">
        <v>3006958.15</v>
      </c>
      <c r="H23" s="168">
        <v>2.25</v>
      </c>
      <c r="I23" s="372"/>
      <c r="J23" s="369"/>
    </row>
    <row r="24" spans="1:10" s="299" customFormat="1" ht="45" customHeight="1" x14ac:dyDescent="0.25">
      <c r="A24" s="298"/>
      <c r="B24" s="180">
        <v>110000058124</v>
      </c>
      <c r="C24" s="181" t="s">
        <v>186</v>
      </c>
      <c r="D24" s="144">
        <v>43150</v>
      </c>
      <c r="E24" s="144">
        <v>45707</v>
      </c>
      <c r="F24" s="185" t="s">
        <v>5</v>
      </c>
      <c r="G24" s="146">
        <v>19953269.760000002</v>
      </c>
      <c r="H24" s="167">
        <v>3.15</v>
      </c>
      <c r="I24" s="372"/>
      <c r="J24" s="369"/>
    </row>
    <row r="25" spans="1:10" s="299" customFormat="1" ht="45" customHeight="1" x14ac:dyDescent="0.25">
      <c r="A25" s="298"/>
      <c r="B25" s="180">
        <v>110000058115</v>
      </c>
      <c r="C25" s="181" t="s">
        <v>84</v>
      </c>
      <c r="D25" s="144">
        <v>43150</v>
      </c>
      <c r="E25" s="145">
        <v>45707</v>
      </c>
      <c r="F25" s="185" t="s">
        <v>5</v>
      </c>
      <c r="G25" s="146">
        <v>747863.42</v>
      </c>
      <c r="H25" s="167">
        <v>3.15</v>
      </c>
      <c r="I25" s="372" t="s">
        <v>399</v>
      </c>
      <c r="J25" s="369"/>
    </row>
    <row r="26" spans="1:10" s="299" customFormat="1" ht="45" customHeight="1" x14ac:dyDescent="0.25">
      <c r="A26" s="305"/>
      <c r="B26" s="180">
        <v>110000058090</v>
      </c>
      <c r="C26" s="181" t="s">
        <v>84</v>
      </c>
      <c r="D26" s="144">
        <v>43150</v>
      </c>
      <c r="E26" s="144">
        <v>45707</v>
      </c>
      <c r="F26" s="185" t="s">
        <v>5</v>
      </c>
      <c r="G26" s="146">
        <v>9411663.8200000003</v>
      </c>
      <c r="H26" s="167">
        <v>3.15</v>
      </c>
      <c r="I26" s="172" t="s">
        <v>332</v>
      </c>
      <c r="J26" s="304"/>
    </row>
    <row r="27" spans="1:10" s="299" customFormat="1" ht="45" customHeight="1" x14ac:dyDescent="0.25">
      <c r="A27" s="305"/>
      <c r="B27" s="143">
        <v>110000088025</v>
      </c>
      <c r="C27" s="137" t="s">
        <v>148</v>
      </c>
      <c r="D27" s="165">
        <v>45211</v>
      </c>
      <c r="E27" s="165">
        <v>45716</v>
      </c>
      <c r="F27" s="164" t="s">
        <v>400</v>
      </c>
      <c r="G27" s="166">
        <v>4029035.6</v>
      </c>
      <c r="H27" s="168">
        <v>2.25</v>
      </c>
      <c r="I27" s="172" t="s">
        <v>317</v>
      </c>
      <c r="J27" s="304"/>
    </row>
    <row r="28" spans="1:10" s="299" customFormat="1" ht="45" customHeight="1" x14ac:dyDescent="0.25">
      <c r="A28" s="305"/>
      <c r="B28" s="180">
        <v>110000087485</v>
      </c>
      <c r="C28" s="311" t="s">
        <v>148</v>
      </c>
      <c r="D28" s="144">
        <v>45176</v>
      </c>
      <c r="E28" s="144">
        <v>45716</v>
      </c>
      <c r="F28" s="185" t="s">
        <v>380</v>
      </c>
      <c r="G28" s="146">
        <v>9190881.6999999993</v>
      </c>
      <c r="H28" s="167">
        <v>2.25</v>
      </c>
      <c r="I28" s="172" t="s">
        <v>321</v>
      </c>
      <c r="J28" s="304"/>
    </row>
    <row r="29" spans="1:10" s="8" customFormat="1" ht="45" customHeight="1" x14ac:dyDescent="0.25">
      <c r="A29" s="183"/>
      <c r="B29" s="143">
        <v>110000087369</v>
      </c>
      <c r="C29" s="137" t="s">
        <v>148</v>
      </c>
      <c r="D29" s="165">
        <v>45168</v>
      </c>
      <c r="E29" s="165">
        <v>45716</v>
      </c>
      <c r="F29" s="164" t="s">
        <v>373</v>
      </c>
      <c r="G29" s="166">
        <v>474583.61</v>
      </c>
      <c r="H29" s="168">
        <v>2.25</v>
      </c>
      <c r="I29" s="172" t="s">
        <v>334</v>
      </c>
    </row>
    <row r="30" spans="1:10" s="8" customFormat="1" ht="45" customHeight="1" x14ac:dyDescent="0.25">
      <c r="A30" s="183"/>
      <c r="B30" s="143">
        <v>110000087037</v>
      </c>
      <c r="C30" s="137" t="s">
        <v>148</v>
      </c>
      <c r="D30" s="165">
        <v>45146</v>
      </c>
      <c r="E30" s="165">
        <v>45716</v>
      </c>
      <c r="F30" s="164" t="s">
        <v>368</v>
      </c>
      <c r="G30" s="166">
        <v>8249751.7000000002</v>
      </c>
      <c r="H30" s="168">
        <v>2.25</v>
      </c>
      <c r="I30" s="172" t="s">
        <v>381</v>
      </c>
    </row>
    <row r="31" spans="1:10" s="8" customFormat="1" ht="45" customHeight="1" x14ac:dyDescent="0.25">
      <c r="A31" s="183"/>
      <c r="B31" s="143">
        <v>110000086960</v>
      </c>
      <c r="C31" s="137" t="s">
        <v>148</v>
      </c>
      <c r="D31" s="165">
        <v>45142</v>
      </c>
      <c r="E31" s="165">
        <v>45716</v>
      </c>
      <c r="F31" s="164" t="s">
        <v>365</v>
      </c>
      <c r="G31" s="166">
        <v>2640234.83</v>
      </c>
      <c r="H31" s="168">
        <v>2.25</v>
      </c>
      <c r="I31" s="172"/>
      <c r="J31" s="300"/>
    </row>
    <row r="32" spans="1:10" s="8" customFormat="1" ht="45" customHeight="1" x14ac:dyDescent="0.25">
      <c r="A32" s="183"/>
      <c r="B32" s="143">
        <v>110000086853</v>
      </c>
      <c r="C32" s="137" t="s">
        <v>148</v>
      </c>
      <c r="D32" s="165">
        <v>45134</v>
      </c>
      <c r="E32" s="165">
        <v>45716</v>
      </c>
      <c r="F32" s="164" t="s">
        <v>343</v>
      </c>
      <c r="G32" s="166">
        <v>3358877.9</v>
      </c>
      <c r="H32" s="168">
        <v>2.25</v>
      </c>
      <c r="I32" s="172"/>
      <c r="J32" s="300"/>
    </row>
    <row r="33" spans="1:10" s="8" customFormat="1" ht="45" customHeight="1" x14ac:dyDescent="0.25">
      <c r="A33" s="183"/>
      <c r="B33" s="143">
        <v>110000086595</v>
      </c>
      <c r="C33" s="137" t="s">
        <v>148</v>
      </c>
      <c r="D33" s="165">
        <v>45114</v>
      </c>
      <c r="E33" s="165">
        <v>45716</v>
      </c>
      <c r="F33" s="164" t="s">
        <v>352</v>
      </c>
      <c r="G33" s="166">
        <v>2956901.27</v>
      </c>
      <c r="H33" s="168">
        <v>2.25</v>
      </c>
      <c r="I33" s="172" t="s">
        <v>344</v>
      </c>
      <c r="J33" s="300"/>
    </row>
    <row r="34" spans="1:10" s="8" customFormat="1" ht="45" customHeight="1" x14ac:dyDescent="0.25">
      <c r="A34" s="183"/>
      <c r="B34" s="143">
        <v>110000086325</v>
      </c>
      <c r="C34" s="311" t="s">
        <v>148</v>
      </c>
      <c r="D34" s="165">
        <v>45100</v>
      </c>
      <c r="E34" s="165">
        <v>45716</v>
      </c>
      <c r="F34" s="164" t="s">
        <v>336</v>
      </c>
      <c r="G34" s="166">
        <v>7842654.0999999996</v>
      </c>
      <c r="H34" s="168">
        <v>2.25</v>
      </c>
      <c r="I34" s="172" t="s">
        <v>353</v>
      </c>
      <c r="J34" s="300"/>
    </row>
    <row r="35" spans="1:10" s="8" customFormat="1" ht="45" customHeight="1" x14ac:dyDescent="0.25">
      <c r="A35" s="183"/>
      <c r="B35" s="143">
        <v>110000086414</v>
      </c>
      <c r="C35" s="311" t="s">
        <v>148</v>
      </c>
      <c r="D35" s="165">
        <v>45106</v>
      </c>
      <c r="E35" s="165">
        <v>45716</v>
      </c>
      <c r="F35" s="164" t="s">
        <v>338</v>
      </c>
      <c r="G35" s="166">
        <v>3016007.88</v>
      </c>
      <c r="H35" s="168">
        <v>2.25</v>
      </c>
      <c r="I35" s="172" t="s">
        <v>366</v>
      </c>
      <c r="J35" s="300"/>
    </row>
    <row r="36" spans="1:10" s="8" customFormat="1" ht="45" customHeight="1" x14ac:dyDescent="0.25">
      <c r="A36" s="183"/>
      <c r="B36" s="143">
        <v>110000086076</v>
      </c>
      <c r="C36" s="311" t="s">
        <v>162</v>
      </c>
      <c r="D36" s="165">
        <v>45077</v>
      </c>
      <c r="E36" s="165">
        <v>45716</v>
      </c>
      <c r="F36" s="164" t="s">
        <v>320</v>
      </c>
      <c r="G36" s="166">
        <v>31032589.18</v>
      </c>
      <c r="H36" s="168">
        <v>2.25</v>
      </c>
      <c r="I36" s="172" t="s">
        <v>369</v>
      </c>
      <c r="J36" s="300"/>
    </row>
    <row r="37" spans="1:10" s="8" customFormat="1" ht="45" customHeight="1" x14ac:dyDescent="0.25">
      <c r="A37" s="183"/>
      <c r="B37" s="180">
        <v>110000060042</v>
      </c>
      <c r="C37" s="181" t="s">
        <v>496</v>
      </c>
      <c r="D37" s="145">
        <v>43192</v>
      </c>
      <c r="E37" s="145">
        <v>45749</v>
      </c>
      <c r="F37" s="144" t="s">
        <v>5</v>
      </c>
      <c r="G37" s="146">
        <v>14213000</v>
      </c>
      <c r="H37" s="167">
        <v>3.15</v>
      </c>
      <c r="I37" s="172"/>
      <c r="J37" s="300"/>
    </row>
    <row r="38" spans="1:10" s="8" customFormat="1" ht="45" customHeight="1" x14ac:dyDescent="0.25">
      <c r="A38" s="183"/>
      <c r="B38" s="180">
        <v>110000060392</v>
      </c>
      <c r="C38" s="181" t="s">
        <v>24</v>
      </c>
      <c r="D38" s="144" t="s">
        <v>78</v>
      </c>
      <c r="E38" s="144" t="s">
        <v>82</v>
      </c>
      <c r="F38" s="185" t="s">
        <v>81</v>
      </c>
      <c r="G38" s="146">
        <v>3097662</v>
      </c>
      <c r="H38" s="167">
        <v>3.15</v>
      </c>
      <c r="I38" s="172" t="s">
        <v>441</v>
      </c>
      <c r="J38" s="300"/>
    </row>
    <row r="39" spans="1:10" s="8" customFormat="1" ht="45" customHeight="1" x14ac:dyDescent="0.25">
      <c r="A39" s="183"/>
      <c r="B39" s="180">
        <v>110000091030</v>
      </c>
      <c r="C39" s="181" t="s">
        <v>497</v>
      </c>
      <c r="D39" s="145">
        <v>45397</v>
      </c>
      <c r="E39" s="145">
        <v>45793</v>
      </c>
      <c r="F39" s="144" t="s">
        <v>444</v>
      </c>
      <c r="G39" s="146">
        <v>12115.08</v>
      </c>
      <c r="H39" s="167">
        <v>5</v>
      </c>
      <c r="I39" s="172" t="s">
        <v>401</v>
      </c>
      <c r="J39" s="300"/>
    </row>
    <row r="40" spans="1:10" s="8" customFormat="1" ht="45" customHeight="1" x14ac:dyDescent="0.25">
      <c r="A40" s="183"/>
      <c r="B40" s="180">
        <v>110000091049</v>
      </c>
      <c r="C40" s="181" t="s">
        <v>498</v>
      </c>
      <c r="D40" s="145">
        <v>45397</v>
      </c>
      <c r="E40" s="145">
        <v>45793</v>
      </c>
      <c r="F40" s="144" t="s">
        <v>347</v>
      </c>
      <c r="G40" s="146">
        <v>389626.42</v>
      </c>
      <c r="H40" s="167">
        <v>5</v>
      </c>
      <c r="I40" s="172"/>
      <c r="J40" s="300"/>
    </row>
    <row r="41" spans="1:10" s="8" customFormat="1" ht="45" customHeight="1" x14ac:dyDescent="0.25">
      <c r="A41" s="183"/>
      <c r="B41" s="180">
        <v>110000091058</v>
      </c>
      <c r="C41" s="181" t="s">
        <v>499</v>
      </c>
      <c r="D41" s="145">
        <v>45397</v>
      </c>
      <c r="E41" s="145">
        <v>45793</v>
      </c>
      <c r="F41" s="144" t="s">
        <v>348</v>
      </c>
      <c r="G41" s="146">
        <v>194974.26</v>
      </c>
      <c r="H41" s="167">
        <v>5</v>
      </c>
      <c r="I41" s="172"/>
    </row>
    <row r="42" spans="1:10" s="8" customFormat="1" ht="45" customHeight="1" x14ac:dyDescent="0.25">
      <c r="A42" s="183"/>
      <c r="B42" s="180">
        <v>110000053342</v>
      </c>
      <c r="C42" s="181" t="s">
        <v>186</v>
      </c>
      <c r="D42" s="144">
        <v>42916</v>
      </c>
      <c r="E42" s="145">
        <v>45838</v>
      </c>
      <c r="F42" s="144" t="s">
        <v>47</v>
      </c>
      <c r="G42" s="146">
        <v>144492578.06</v>
      </c>
      <c r="H42" s="167">
        <v>3.25</v>
      </c>
      <c r="I42" s="172"/>
      <c r="J42" s="300"/>
    </row>
    <row r="43" spans="1:10" s="8" customFormat="1" ht="45" customHeight="1" x14ac:dyDescent="0.25">
      <c r="A43" s="183"/>
      <c r="B43" s="180">
        <v>110000053333</v>
      </c>
      <c r="C43" s="181" t="s">
        <v>500</v>
      </c>
      <c r="D43" s="144">
        <v>42916</v>
      </c>
      <c r="E43" s="145">
        <v>45838</v>
      </c>
      <c r="F43" s="144" t="s">
        <v>47</v>
      </c>
      <c r="G43" s="146">
        <v>725842.91</v>
      </c>
      <c r="H43" s="167">
        <v>3.25</v>
      </c>
      <c r="I43" s="172"/>
      <c r="J43" s="300"/>
    </row>
    <row r="44" spans="1:10" s="8" customFormat="1" ht="45" customHeight="1" x14ac:dyDescent="0.25">
      <c r="A44" s="183"/>
      <c r="B44" s="180">
        <v>110000053324</v>
      </c>
      <c r="C44" s="181" t="s">
        <v>501</v>
      </c>
      <c r="D44" s="144">
        <v>42916</v>
      </c>
      <c r="E44" s="145">
        <v>45838</v>
      </c>
      <c r="F44" s="144" t="s">
        <v>47</v>
      </c>
      <c r="G44" s="146">
        <v>9698013.7899999991</v>
      </c>
      <c r="H44" s="167">
        <v>3.25</v>
      </c>
      <c r="I44" s="172"/>
      <c r="J44" s="300"/>
    </row>
    <row r="45" spans="1:10" s="8" customFormat="1" ht="45" customHeight="1" x14ac:dyDescent="0.25">
      <c r="A45" s="183"/>
      <c r="B45" s="180">
        <v>110000053315</v>
      </c>
      <c r="C45" s="181" t="s">
        <v>130</v>
      </c>
      <c r="D45" s="144">
        <v>42916</v>
      </c>
      <c r="E45" s="145">
        <v>45838</v>
      </c>
      <c r="F45" s="144" t="s">
        <v>47</v>
      </c>
      <c r="G45" s="146">
        <v>132928772.23</v>
      </c>
      <c r="H45" s="167">
        <v>3.25</v>
      </c>
      <c r="I45" s="172"/>
      <c r="J45" s="300"/>
    </row>
    <row r="46" spans="1:10" s="8" customFormat="1" ht="45" customHeight="1" x14ac:dyDescent="0.25">
      <c r="A46" s="183"/>
      <c r="B46" s="180">
        <v>110000093348</v>
      </c>
      <c r="C46" s="181" t="s">
        <v>523</v>
      </c>
      <c r="D46" s="144">
        <v>45482</v>
      </c>
      <c r="E46" s="145">
        <v>45847</v>
      </c>
      <c r="F46" s="144" t="s">
        <v>444</v>
      </c>
      <c r="G46" s="146">
        <v>260493.26</v>
      </c>
      <c r="H46" s="167">
        <v>5.25</v>
      </c>
      <c r="I46" s="172"/>
      <c r="J46" s="300"/>
    </row>
    <row r="47" spans="1:10" s="8" customFormat="1" ht="45" customHeight="1" x14ac:dyDescent="0.25">
      <c r="A47" s="183"/>
      <c r="B47" s="180">
        <v>110000093357</v>
      </c>
      <c r="C47" s="181" t="s">
        <v>522</v>
      </c>
      <c r="D47" s="144">
        <v>45482</v>
      </c>
      <c r="E47" s="145">
        <v>45847</v>
      </c>
      <c r="F47" s="144" t="s">
        <v>444</v>
      </c>
      <c r="G47" s="146">
        <v>41212.17</v>
      </c>
      <c r="H47" s="167">
        <v>5.25</v>
      </c>
      <c r="I47" s="172"/>
      <c r="J47" s="300"/>
    </row>
    <row r="48" spans="1:10" s="8" customFormat="1" ht="45" customHeight="1" x14ac:dyDescent="0.25">
      <c r="A48" s="183"/>
      <c r="B48" s="180">
        <v>110000093366</v>
      </c>
      <c r="C48" s="181" t="s">
        <v>521</v>
      </c>
      <c r="D48" s="144">
        <v>45482</v>
      </c>
      <c r="E48" s="145">
        <v>45847</v>
      </c>
      <c r="F48" s="144" t="s">
        <v>444</v>
      </c>
      <c r="G48" s="146">
        <v>152404.56</v>
      </c>
      <c r="H48" s="167">
        <v>5.25</v>
      </c>
      <c r="I48" s="172"/>
      <c r="J48" s="300"/>
    </row>
    <row r="49" spans="1:10" s="8" customFormat="1" ht="45" customHeight="1" x14ac:dyDescent="0.25">
      <c r="A49" s="183"/>
      <c r="B49" s="180">
        <v>110000093375</v>
      </c>
      <c r="C49" s="181" t="s">
        <v>496</v>
      </c>
      <c r="D49" s="144">
        <v>45482</v>
      </c>
      <c r="E49" s="145">
        <v>45847</v>
      </c>
      <c r="F49" s="144" t="s">
        <v>444</v>
      </c>
      <c r="G49" s="146">
        <v>25277385.16</v>
      </c>
      <c r="H49" s="167">
        <v>5.25</v>
      </c>
      <c r="I49" s="172"/>
      <c r="J49" s="300"/>
    </row>
    <row r="50" spans="1:10" s="8" customFormat="1" ht="45" customHeight="1" x14ac:dyDescent="0.25">
      <c r="A50" s="183"/>
      <c r="B50" s="180">
        <v>110000093384</v>
      </c>
      <c r="C50" s="181" t="s">
        <v>524</v>
      </c>
      <c r="D50" s="144">
        <v>45482</v>
      </c>
      <c r="E50" s="145">
        <v>45847</v>
      </c>
      <c r="F50" s="144" t="s">
        <v>444</v>
      </c>
      <c r="G50" s="146">
        <v>32152.91</v>
      </c>
      <c r="H50" s="167">
        <v>5.25</v>
      </c>
      <c r="I50" s="172"/>
      <c r="J50" s="300"/>
    </row>
    <row r="51" spans="1:10" s="8" customFormat="1" ht="45" customHeight="1" x14ac:dyDescent="0.25">
      <c r="A51" s="183"/>
      <c r="B51" s="180">
        <v>110000093393</v>
      </c>
      <c r="C51" s="181" t="s">
        <v>496</v>
      </c>
      <c r="D51" s="144">
        <v>45482</v>
      </c>
      <c r="E51" s="145">
        <v>45847</v>
      </c>
      <c r="F51" s="144" t="s">
        <v>444</v>
      </c>
      <c r="G51" s="146">
        <v>10000000</v>
      </c>
      <c r="H51" s="167">
        <v>5.25</v>
      </c>
      <c r="I51" s="172"/>
      <c r="J51" s="300"/>
    </row>
    <row r="52" spans="1:10" s="8" customFormat="1" ht="45" customHeight="1" x14ac:dyDescent="0.25">
      <c r="A52" s="183"/>
      <c r="B52" s="180">
        <v>110000093400</v>
      </c>
      <c r="C52" s="181" t="s">
        <v>496</v>
      </c>
      <c r="D52" s="144">
        <v>45482</v>
      </c>
      <c r="E52" s="145">
        <v>45847</v>
      </c>
      <c r="F52" s="144" t="s">
        <v>444</v>
      </c>
      <c r="G52" s="146">
        <v>25207383</v>
      </c>
      <c r="H52" s="167">
        <v>5.25</v>
      </c>
      <c r="I52" s="172"/>
      <c r="J52" s="300"/>
    </row>
    <row r="53" spans="1:10" s="8" customFormat="1" ht="45" customHeight="1" x14ac:dyDescent="0.25">
      <c r="A53" s="183"/>
      <c r="B53" s="180">
        <v>110000093419</v>
      </c>
      <c r="C53" s="181" t="s">
        <v>525</v>
      </c>
      <c r="D53" s="144">
        <v>45482</v>
      </c>
      <c r="E53" s="145">
        <v>45847</v>
      </c>
      <c r="F53" s="144" t="s">
        <v>444</v>
      </c>
      <c r="G53" s="146">
        <v>5753600</v>
      </c>
      <c r="H53" s="167">
        <v>5.25</v>
      </c>
      <c r="I53" s="172"/>
      <c r="J53" s="300"/>
    </row>
    <row r="54" spans="1:10" s="8" customFormat="1" ht="45" customHeight="1" x14ac:dyDescent="0.25">
      <c r="A54" s="183"/>
      <c r="B54" s="180">
        <v>110000093428</v>
      </c>
      <c r="C54" s="181" t="s">
        <v>526</v>
      </c>
      <c r="D54" s="144">
        <v>45482</v>
      </c>
      <c r="E54" s="145">
        <v>45847</v>
      </c>
      <c r="F54" s="144" t="s">
        <v>444</v>
      </c>
      <c r="G54" s="146">
        <v>17458460.890000001</v>
      </c>
      <c r="H54" s="167">
        <v>5.25</v>
      </c>
      <c r="I54" s="172"/>
      <c r="J54" s="300"/>
    </row>
    <row r="55" spans="1:10" s="8" customFormat="1" ht="45" customHeight="1" x14ac:dyDescent="0.25">
      <c r="A55" s="183"/>
      <c r="B55" s="377">
        <v>110000093590</v>
      </c>
      <c r="C55" s="428" t="s">
        <v>534</v>
      </c>
      <c r="D55" s="378">
        <v>45490</v>
      </c>
      <c r="E55" s="421">
        <v>45855</v>
      </c>
      <c r="F55" s="378" t="s">
        <v>444</v>
      </c>
      <c r="G55" s="379">
        <v>189800045.22999999</v>
      </c>
      <c r="H55" s="430">
        <v>5.25</v>
      </c>
      <c r="I55" s="172" t="s">
        <v>531</v>
      </c>
      <c r="J55" s="300"/>
    </row>
    <row r="56" spans="1:10" s="8" customFormat="1" ht="45" customHeight="1" x14ac:dyDescent="0.25">
      <c r="A56" s="183"/>
      <c r="B56" s="377">
        <v>110000093606</v>
      </c>
      <c r="C56" s="428" t="s">
        <v>534</v>
      </c>
      <c r="D56" s="378">
        <v>45490</v>
      </c>
      <c r="E56" s="421">
        <v>45855</v>
      </c>
      <c r="F56" s="378" t="s">
        <v>444</v>
      </c>
      <c r="G56" s="379">
        <v>212080346.53999999</v>
      </c>
      <c r="H56" s="430">
        <v>5.25</v>
      </c>
      <c r="I56" s="172" t="s">
        <v>531</v>
      </c>
      <c r="J56" s="300"/>
    </row>
    <row r="57" spans="1:10" s="8" customFormat="1" ht="45" customHeight="1" x14ac:dyDescent="0.25">
      <c r="A57" s="183"/>
      <c r="B57" s="377">
        <v>110000093615</v>
      </c>
      <c r="C57" s="428" t="s">
        <v>535</v>
      </c>
      <c r="D57" s="378">
        <v>45490</v>
      </c>
      <c r="E57" s="421">
        <v>45855</v>
      </c>
      <c r="F57" s="378" t="s">
        <v>444</v>
      </c>
      <c r="G57" s="379">
        <v>93106.66</v>
      </c>
      <c r="H57" s="430">
        <v>5.25</v>
      </c>
      <c r="I57" s="172" t="s">
        <v>531</v>
      </c>
      <c r="J57" s="300"/>
    </row>
    <row r="58" spans="1:10" s="8" customFormat="1" ht="45" customHeight="1" x14ac:dyDescent="0.25">
      <c r="A58" s="183"/>
      <c r="B58" s="377">
        <v>110000093624</v>
      </c>
      <c r="C58" s="428" t="s">
        <v>535</v>
      </c>
      <c r="D58" s="378">
        <v>45490</v>
      </c>
      <c r="E58" s="421">
        <v>45855</v>
      </c>
      <c r="F58" s="378" t="s">
        <v>444</v>
      </c>
      <c r="G58" s="379">
        <v>573969.68000000005</v>
      </c>
      <c r="H58" s="430">
        <v>5.25</v>
      </c>
      <c r="I58" s="172" t="s">
        <v>531</v>
      </c>
      <c r="J58" s="300"/>
    </row>
    <row r="59" spans="1:10" s="8" customFormat="1" ht="45" customHeight="1" x14ac:dyDescent="0.25">
      <c r="A59" s="183"/>
      <c r="B59" s="377">
        <v>110000093633</v>
      </c>
      <c r="C59" s="428" t="s">
        <v>536</v>
      </c>
      <c r="D59" s="378">
        <v>45490</v>
      </c>
      <c r="E59" s="421">
        <v>45855</v>
      </c>
      <c r="F59" s="378" t="s">
        <v>444</v>
      </c>
      <c r="G59" s="379">
        <v>1636784.18</v>
      </c>
      <c r="H59" s="430">
        <v>5.25</v>
      </c>
      <c r="I59" s="172" t="s">
        <v>531</v>
      </c>
      <c r="J59" s="300"/>
    </row>
    <row r="60" spans="1:10" s="8" customFormat="1" ht="45" customHeight="1" x14ac:dyDescent="0.25">
      <c r="A60" s="183"/>
      <c r="B60" s="377">
        <v>110000093642</v>
      </c>
      <c r="C60" s="428" t="s">
        <v>536</v>
      </c>
      <c r="D60" s="378">
        <v>45490</v>
      </c>
      <c r="E60" s="421">
        <v>45855</v>
      </c>
      <c r="F60" s="378" t="s">
        <v>444</v>
      </c>
      <c r="G60" s="379">
        <v>3119609.91</v>
      </c>
      <c r="H60" s="430">
        <v>5.25</v>
      </c>
      <c r="I60" s="172" t="s">
        <v>531</v>
      </c>
      <c r="J60" s="300"/>
    </row>
    <row r="61" spans="1:10" s="8" customFormat="1" ht="45" customHeight="1" x14ac:dyDescent="0.25">
      <c r="A61" s="183"/>
      <c r="B61" s="377">
        <v>110000093651</v>
      </c>
      <c r="C61" s="428" t="s">
        <v>537</v>
      </c>
      <c r="D61" s="378">
        <v>45490</v>
      </c>
      <c r="E61" s="421">
        <v>45855</v>
      </c>
      <c r="F61" s="378" t="s">
        <v>444</v>
      </c>
      <c r="G61" s="379">
        <v>22576.35</v>
      </c>
      <c r="H61" s="430">
        <v>5.25</v>
      </c>
      <c r="I61" s="172" t="s">
        <v>531</v>
      </c>
      <c r="J61" s="300"/>
    </row>
    <row r="62" spans="1:10" s="8" customFormat="1" ht="45" customHeight="1" x14ac:dyDescent="0.25">
      <c r="A62" s="183"/>
      <c r="B62" s="377">
        <v>110000093660</v>
      </c>
      <c r="C62" s="428" t="s">
        <v>538</v>
      </c>
      <c r="D62" s="378">
        <v>45490</v>
      </c>
      <c r="E62" s="421">
        <v>45855</v>
      </c>
      <c r="F62" s="378" t="s">
        <v>444</v>
      </c>
      <c r="G62" s="379">
        <v>1064439.6299999999</v>
      </c>
      <c r="H62" s="430">
        <v>5.25</v>
      </c>
      <c r="I62" s="172" t="s">
        <v>531</v>
      </c>
      <c r="J62" s="300"/>
    </row>
    <row r="63" spans="1:10" s="8" customFormat="1" ht="45" customHeight="1" x14ac:dyDescent="0.25">
      <c r="A63" s="183"/>
      <c r="B63" s="377">
        <v>110000093670</v>
      </c>
      <c r="C63" s="428" t="s">
        <v>538</v>
      </c>
      <c r="D63" s="378">
        <v>45490</v>
      </c>
      <c r="E63" s="421">
        <v>45855</v>
      </c>
      <c r="F63" s="378" t="s">
        <v>444</v>
      </c>
      <c r="G63" s="379">
        <v>3870391.05</v>
      </c>
      <c r="H63" s="430">
        <v>5.25</v>
      </c>
      <c r="I63" s="172" t="s">
        <v>531</v>
      </c>
      <c r="J63" s="300"/>
    </row>
    <row r="64" spans="1:10" s="8" customFormat="1" ht="45" customHeight="1" x14ac:dyDescent="0.25">
      <c r="A64" s="183"/>
      <c r="B64" s="377">
        <v>110000093689</v>
      </c>
      <c r="C64" s="428" t="s">
        <v>538</v>
      </c>
      <c r="D64" s="378">
        <v>45490</v>
      </c>
      <c r="E64" s="421">
        <v>45855</v>
      </c>
      <c r="F64" s="378" t="s">
        <v>444</v>
      </c>
      <c r="G64" s="379">
        <v>58944.24</v>
      </c>
      <c r="H64" s="430">
        <v>5.25</v>
      </c>
      <c r="I64" s="172" t="s">
        <v>531</v>
      </c>
      <c r="J64" s="300"/>
    </row>
    <row r="65" spans="1:10" s="8" customFormat="1" ht="45" customHeight="1" x14ac:dyDescent="0.25">
      <c r="A65" s="183"/>
      <c r="B65" s="377">
        <v>110000093713</v>
      </c>
      <c r="C65" s="428" t="s">
        <v>539</v>
      </c>
      <c r="D65" s="378">
        <v>45490</v>
      </c>
      <c r="E65" s="421">
        <v>45855</v>
      </c>
      <c r="F65" s="378" t="s">
        <v>444</v>
      </c>
      <c r="G65" s="379">
        <v>23164.54</v>
      </c>
      <c r="H65" s="430">
        <v>5.25</v>
      </c>
      <c r="I65" s="172" t="s">
        <v>531</v>
      </c>
      <c r="J65" s="300"/>
    </row>
    <row r="66" spans="1:10" s="8" customFormat="1" ht="45" customHeight="1" x14ac:dyDescent="0.25">
      <c r="A66" s="183"/>
      <c r="B66" s="377">
        <v>110000093722</v>
      </c>
      <c r="C66" s="428" t="s">
        <v>540</v>
      </c>
      <c r="D66" s="378">
        <v>45490</v>
      </c>
      <c r="E66" s="421">
        <v>45855</v>
      </c>
      <c r="F66" s="378" t="s">
        <v>444</v>
      </c>
      <c r="G66" s="379">
        <v>8261248.6799999997</v>
      </c>
      <c r="H66" s="430">
        <v>5.25</v>
      </c>
      <c r="I66" s="172" t="s">
        <v>531</v>
      </c>
      <c r="J66" s="300"/>
    </row>
    <row r="67" spans="1:10" s="8" customFormat="1" ht="45" customHeight="1" x14ac:dyDescent="0.25">
      <c r="A67" s="183"/>
      <c r="B67" s="377">
        <v>110000093731</v>
      </c>
      <c r="C67" s="428" t="s">
        <v>540</v>
      </c>
      <c r="D67" s="378">
        <v>45490</v>
      </c>
      <c r="E67" s="421">
        <v>45855</v>
      </c>
      <c r="F67" s="378" t="s">
        <v>444</v>
      </c>
      <c r="G67" s="379">
        <v>1858681.25</v>
      </c>
      <c r="H67" s="430">
        <v>5.25</v>
      </c>
      <c r="I67" s="172" t="s">
        <v>531</v>
      </c>
      <c r="J67" s="300"/>
    </row>
    <row r="68" spans="1:10" s="8" customFormat="1" ht="45" customHeight="1" x14ac:dyDescent="0.25">
      <c r="A68" s="183"/>
      <c r="B68" s="377">
        <v>110000093740</v>
      </c>
      <c r="C68" s="428" t="s">
        <v>540</v>
      </c>
      <c r="D68" s="378">
        <v>45490</v>
      </c>
      <c r="E68" s="421">
        <v>45855</v>
      </c>
      <c r="F68" s="378" t="s">
        <v>444</v>
      </c>
      <c r="G68" s="379">
        <v>217212.78</v>
      </c>
      <c r="H68" s="430">
        <v>5.25</v>
      </c>
      <c r="I68" s="172" t="s">
        <v>531</v>
      </c>
      <c r="J68" s="300"/>
    </row>
    <row r="69" spans="1:10" s="8" customFormat="1" ht="45" customHeight="1" x14ac:dyDescent="0.25">
      <c r="A69" s="183"/>
      <c r="B69" s="377">
        <v>110000093750</v>
      </c>
      <c r="C69" s="428" t="s">
        <v>541</v>
      </c>
      <c r="D69" s="378">
        <v>45490</v>
      </c>
      <c r="E69" s="421">
        <v>45855</v>
      </c>
      <c r="F69" s="378" t="s">
        <v>444</v>
      </c>
      <c r="G69" s="379">
        <v>323171.62</v>
      </c>
      <c r="H69" s="430">
        <v>5.25</v>
      </c>
      <c r="I69" s="172" t="s">
        <v>531</v>
      </c>
      <c r="J69" s="300"/>
    </row>
    <row r="70" spans="1:10" s="8" customFormat="1" ht="45" customHeight="1" x14ac:dyDescent="0.25">
      <c r="A70" s="183"/>
      <c r="B70" s="377">
        <v>110000093769</v>
      </c>
      <c r="C70" s="428" t="s">
        <v>541</v>
      </c>
      <c r="D70" s="378">
        <v>45490</v>
      </c>
      <c r="E70" s="421">
        <v>45855</v>
      </c>
      <c r="F70" s="378" t="s">
        <v>444</v>
      </c>
      <c r="G70" s="379">
        <v>538945.37</v>
      </c>
      <c r="H70" s="430">
        <v>5.25</v>
      </c>
      <c r="I70" s="172" t="s">
        <v>531</v>
      </c>
      <c r="J70" s="300"/>
    </row>
    <row r="71" spans="1:10" s="8" customFormat="1" ht="45" customHeight="1" x14ac:dyDescent="0.25">
      <c r="A71" s="183"/>
      <c r="B71" s="377">
        <v>110000093778</v>
      </c>
      <c r="C71" s="428" t="s">
        <v>541</v>
      </c>
      <c r="D71" s="378">
        <v>45490</v>
      </c>
      <c r="E71" s="421">
        <v>45855</v>
      </c>
      <c r="F71" s="378" t="s">
        <v>444</v>
      </c>
      <c r="G71" s="379">
        <v>25270.11</v>
      </c>
      <c r="H71" s="430">
        <v>5.25</v>
      </c>
      <c r="I71" s="172" t="s">
        <v>531</v>
      </c>
      <c r="J71" s="300"/>
    </row>
    <row r="72" spans="1:10" s="8" customFormat="1" ht="45" customHeight="1" x14ac:dyDescent="0.25">
      <c r="A72" s="183"/>
      <c r="B72" s="377">
        <v>110000093787</v>
      </c>
      <c r="C72" s="428" t="s">
        <v>579</v>
      </c>
      <c r="D72" s="378">
        <v>45490</v>
      </c>
      <c r="E72" s="421">
        <v>45855</v>
      </c>
      <c r="F72" s="378" t="s">
        <v>444</v>
      </c>
      <c r="G72" s="379">
        <v>1280495</v>
      </c>
      <c r="H72" s="430">
        <v>5.25</v>
      </c>
      <c r="I72" s="172" t="s">
        <v>531</v>
      </c>
      <c r="J72" s="300"/>
    </row>
    <row r="73" spans="1:10" s="8" customFormat="1" ht="45" customHeight="1" x14ac:dyDescent="0.25">
      <c r="A73" s="183"/>
      <c r="B73" s="377">
        <v>110000093796</v>
      </c>
      <c r="C73" s="428" t="s">
        <v>23</v>
      </c>
      <c r="D73" s="378">
        <v>45490</v>
      </c>
      <c r="E73" s="421">
        <v>45855</v>
      </c>
      <c r="F73" s="378" t="s">
        <v>444</v>
      </c>
      <c r="G73" s="379">
        <v>18545968.02</v>
      </c>
      <c r="H73" s="430">
        <v>5.25</v>
      </c>
      <c r="I73" s="172" t="s">
        <v>531</v>
      </c>
      <c r="J73" s="300"/>
    </row>
    <row r="74" spans="1:10" s="8" customFormat="1" ht="45" customHeight="1" x14ac:dyDescent="0.25">
      <c r="A74" s="183"/>
      <c r="B74" s="377">
        <v>110000093802</v>
      </c>
      <c r="C74" s="428" t="s">
        <v>23</v>
      </c>
      <c r="D74" s="378">
        <v>45490</v>
      </c>
      <c r="E74" s="421">
        <v>45855</v>
      </c>
      <c r="F74" s="378" t="s">
        <v>444</v>
      </c>
      <c r="G74" s="379">
        <v>25467398.440000001</v>
      </c>
      <c r="H74" s="430">
        <v>5.25</v>
      </c>
      <c r="I74" s="172" t="s">
        <v>531</v>
      </c>
      <c r="J74" s="300"/>
    </row>
    <row r="75" spans="1:10" s="8" customFormat="1" ht="45" customHeight="1" x14ac:dyDescent="0.25">
      <c r="A75" s="183"/>
      <c r="B75" s="377">
        <v>110000093811</v>
      </c>
      <c r="C75" s="428" t="s">
        <v>468</v>
      </c>
      <c r="D75" s="378">
        <v>45490</v>
      </c>
      <c r="E75" s="421">
        <v>45855</v>
      </c>
      <c r="F75" s="378" t="s">
        <v>444</v>
      </c>
      <c r="G75" s="379">
        <v>26297395.239999998</v>
      </c>
      <c r="H75" s="430">
        <v>5.25</v>
      </c>
      <c r="I75" s="172" t="s">
        <v>531</v>
      </c>
      <c r="J75" s="300"/>
    </row>
    <row r="76" spans="1:10" s="8" customFormat="1" ht="45" customHeight="1" x14ac:dyDescent="0.25">
      <c r="A76" s="183"/>
      <c r="B76" s="377">
        <v>110000093820</v>
      </c>
      <c r="C76" s="428" t="s">
        <v>468</v>
      </c>
      <c r="D76" s="378">
        <v>45490</v>
      </c>
      <c r="E76" s="421">
        <v>45855</v>
      </c>
      <c r="F76" s="378" t="s">
        <v>444</v>
      </c>
      <c r="G76" s="379">
        <v>5799100</v>
      </c>
      <c r="H76" s="430">
        <v>5.25</v>
      </c>
      <c r="I76" s="172" t="s">
        <v>531</v>
      </c>
      <c r="J76" s="300"/>
    </row>
    <row r="77" spans="1:10" s="8" customFormat="1" ht="45" customHeight="1" x14ac:dyDescent="0.25">
      <c r="A77" s="183"/>
      <c r="B77" s="377">
        <v>110000093830</v>
      </c>
      <c r="C77" s="428" t="s">
        <v>468</v>
      </c>
      <c r="D77" s="378">
        <v>45490</v>
      </c>
      <c r="E77" s="421">
        <v>45855</v>
      </c>
      <c r="F77" s="378" t="s">
        <v>444</v>
      </c>
      <c r="G77" s="379">
        <v>3200000</v>
      </c>
      <c r="H77" s="430">
        <v>5.25</v>
      </c>
      <c r="I77" s="172" t="s">
        <v>531</v>
      </c>
      <c r="J77" s="300"/>
    </row>
    <row r="78" spans="1:10" s="8" customFormat="1" ht="45" customHeight="1" x14ac:dyDescent="0.25">
      <c r="A78" s="183"/>
      <c r="B78" s="377">
        <v>110000093858</v>
      </c>
      <c r="C78" s="428" t="s">
        <v>468</v>
      </c>
      <c r="D78" s="378">
        <v>45490</v>
      </c>
      <c r="E78" s="421">
        <v>45855</v>
      </c>
      <c r="F78" s="378" t="s">
        <v>444</v>
      </c>
      <c r="G78" s="379">
        <v>16000000</v>
      </c>
      <c r="H78" s="430">
        <v>5.25</v>
      </c>
      <c r="I78" s="172" t="s">
        <v>531</v>
      </c>
      <c r="J78" s="300"/>
    </row>
    <row r="79" spans="1:10" s="8" customFormat="1" ht="45" customHeight="1" x14ac:dyDescent="0.25">
      <c r="A79" s="183"/>
      <c r="B79" s="180">
        <v>110000055015</v>
      </c>
      <c r="C79" s="181" t="s">
        <v>502</v>
      </c>
      <c r="D79" s="145">
        <v>42964</v>
      </c>
      <c r="E79" s="145">
        <v>45887</v>
      </c>
      <c r="F79" s="144" t="s">
        <v>47</v>
      </c>
      <c r="G79" s="146">
        <v>15000000</v>
      </c>
      <c r="H79" s="167">
        <v>3.25</v>
      </c>
      <c r="I79" s="172"/>
      <c r="J79" s="300"/>
    </row>
    <row r="80" spans="1:10" s="8" customFormat="1" ht="45" customHeight="1" x14ac:dyDescent="0.25">
      <c r="A80" s="183"/>
      <c r="B80" s="180">
        <v>110000052935</v>
      </c>
      <c r="C80" s="181" t="s">
        <v>24</v>
      </c>
      <c r="D80" s="144">
        <v>42975</v>
      </c>
      <c r="E80" s="144">
        <v>45895</v>
      </c>
      <c r="F80" s="144" t="s">
        <v>47</v>
      </c>
      <c r="G80" s="146">
        <v>2925441.92</v>
      </c>
      <c r="H80" s="182">
        <v>3.25</v>
      </c>
      <c r="I80" s="172"/>
      <c r="J80" s="300"/>
    </row>
    <row r="81" spans="1:12" s="8" customFormat="1" ht="45" customHeight="1" x14ac:dyDescent="0.25">
      <c r="A81" s="114"/>
      <c r="B81" s="180">
        <v>110000083771</v>
      </c>
      <c r="C81" s="184" t="s">
        <v>468</v>
      </c>
      <c r="D81" s="144">
        <v>44890</v>
      </c>
      <c r="E81" s="145">
        <v>45985</v>
      </c>
      <c r="F81" s="144" t="s">
        <v>9</v>
      </c>
      <c r="G81" s="146">
        <v>3500000</v>
      </c>
      <c r="H81" s="182">
        <v>4.2</v>
      </c>
      <c r="I81" s="172" t="s">
        <v>188</v>
      </c>
    </row>
    <row r="82" spans="1:12" s="8" customFormat="1" ht="45" customHeight="1" x14ac:dyDescent="0.25">
      <c r="A82" s="183"/>
      <c r="B82" s="180">
        <v>110000083904</v>
      </c>
      <c r="C82" s="181" t="s">
        <v>466</v>
      </c>
      <c r="D82" s="145">
        <v>44895</v>
      </c>
      <c r="E82" s="145">
        <v>45992</v>
      </c>
      <c r="F82" s="144" t="s">
        <v>9</v>
      </c>
      <c r="G82" s="146">
        <v>84152.07</v>
      </c>
      <c r="H82" s="182">
        <v>4.2</v>
      </c>
      <c r="I82" s="172"/>
      <c r="J82" s="300"/>
    </row>
    <row r="83" spans="1:12" s="139" customFormat="1" ht="45" customHeight="1" x14ac:dyDescent="0.25">
      <c r="A83" s="264"/>
      <c r="B83" s="180">
        <v>110000083898</v>
      </c>
      <c r="C83" s="181" t="s">
        <v>169</v>
      </c>
      <c r="D83" s="145">
        <v>44895</v>
      </c>
      <c r="E83" s="145">
        <v>45992</v>
      </c>
      <c r="F83" s="144" t="s">
        <v>9</v>
      </c>
      <c r="G83" s="146">
        <v>1413550.77</v>
      </c>
      <c r="H83" s="182">
        <v>4.2</v>
      </c>
      <c r="I83" s="172" t="s">
        <v>187</v>
      </c>
      <c r="L83" s="301"/>
    </row>
    <row r="84" spans="1:12" s="139" customFormat="1" ht="45" customHeight="1" x14ac:dyDescent="0.25">
      <c r="A84" s="264"/>
      <c r="B84" s="180">
        <v>110000083889</v>
      </c>
      <c r="C84" s="184" t="s">
        <v>186</v>
      </c>
      <c r="D84" s="145">
        <v>44895</v>
      </c>
      <c r="E84" s="145">
        <v>45992</v>
      </c>
      <c r="F84" s="144" t="s">
        <v>9</v>
      </c>
      <c r="G84" s="146">
        <v>12377716.07</v>
      </c>
      <c r="H84" s="182">
        <v>4.2</v>
      </c>
      <c r="I84" s="172" t="s">
        <v>187</v>
      </c>
      <c r="L84" s="301"/>
    </row>
    <row r="85" spans="1:12" s="139" customFormat="1" ht="45" customHeight="1" x14ac:dyDescent="0.25">
      <c r="A85" s="264"/>
      <c r="B85" s="180">
        <v>110000083870</v>
      </c>
      <c r="C85" s="184" t="s">
        <v>185</v>
      </c>
      <c r="D85" s="145">
        <v>44895</v>
      </c>
      <c r="E85" s="145">
        <v>45992</v>
      </c>
      <c r="F85" s="144" t="s">
        <v>9</v>
      </c>
      <c r="G85" s="146">
        <v>7806415.6299999999</v>
      </c>
      <c r="H85" s="182">
        <v>4.2</v>
      </c>
      <c r="I85" s="172" t="s">
        <v>187</v>
      </c>
      <c r="L85" s="301"/>
    </row>
    <row r="86" spans="1:12" s="139" customFormat="1" ht="45" customHeight="1" x14ac:dyDescent="0.25">
      <c r="A86" s="264"/>
      <c r="B86" s="180">
        <v>110000083860</v>
      </c>
      <c r="C86" s="181" t="s">
        <v>170</v>
      </c>
      <c r="D86" s="145">
        <v>44895</v>
      </c>
      <c r="E86" s="145">
        <v>45992</v>
      </c>
      <c r="F86" s="144" t="s">
        <v>9</v>
      </c>
      <c r="G86" s="146">
        <v>44505.72</v>
      </c>
      <c r="H86" s="182">
        <v>4.2</v>
      </c>
      <c r="I86" s="172" t="s">
        <v>187</v>
      </c>
      <c r="L86" s="301"/>
    </row>
    <row r="87" spans="1:12" s="139" customFormat="1" ht="45" customHeight="1" x14ac:dyDescent="0.25">
      <c r="A87" s="264"/>
      <c r="B87" s="180">
        <v>110000083851</v>
      </c>
      <c r="C87" s="181" t="s">
        <v>169</v>
      </c>
      <c r="D87" s="145">
        <v>44895</v>
      </c>
      <c r="E87" s="145">
        <v>45992</v>
      </c>
      <c r="F87" s="144" t="s">
        <v>9</v>
      </c>
      <c r="G87" s="146">
        <v>786053.12</v>
      </c>
      <c r="H87" s="182">
        <v>4.2</v>
      </c>
      <c r="I87" s="172" t="s">
        <v>187</v>
      </c>
      <c r="L87" s="301"/>
    </row>
    <row r="88" spans="1:12" s="139" customFormat="1" ht="45" customHeight="1" x14ac:dyDescent="0.25">
      <c r="A88" s="264"/>
      <c r="B88" s="180">
        <v>110000083842</v>
      </c>
      <c r="C88" s="184" t="s">
        <v>392</v>
      </c>
      <c r="D88" s="145">
        <v>44895</v>
      </c>
      <c r="E88" s="145">
        <v>45992</v>
      </c>
      <c r="F88" s="144" t="s">
        <v>9</v>
      </c>
      <c r="G88" s="146">
        <v>3207485.94</v>
      </c>
      <c r="H88" s="182">
        <v>4.2</v>
      </c>
      <c r="I88" s="172" t="s">
        <v>187</v>
      </c>
      <c r="L88" s="301"/>
    </row>
    <row r="89" spans="1:12" s="139" customFormat="1" ht="45" customHeight="1" x14ac:dyDescent="0.25">
      <c r="A89" s="264"/>
      <c r="B89" s="180">
        <v>110000083833</v>
      </c>
      <c r="C89" s="184" t="s">
        <v>391</v>
      </c>
      <c r="D89" s="145">
        <v>44895</v>
      </c>
      <c r="E89" s="145">
        <v>45992</v>
      </c>
      <c r="F89" s="144" t="s">
        <v>9</v>
      </c>
      <c r="G89" s="146">
        <v>1628234.62</v>
      </c>
      <c r="H89" s="182">
        <v>4.2</v>
      </c>
      <c r="I89" s="172" t="s">
        <v>187</v>
      </c>
      <c r="L89" s="301"/>
    </row>
    <row r="90" spans="1:12" s="139" customFormat="1" ht="45" customHeight="1" x14ac:dyDescent="0.25">
      <c r="A90" s="264"/>
      <c r="B90" s="180">
        <v>110000083824</v>
      </c>
      <c r="C90" s="184" t="s">
        <v>186</v>
      </c>
      <c r="D90" s="145">
        <v>44895</v>
      </c>
      <c r="E90" s="145">
        <v>45992</v>
      </c>
      <c r="F90" s="144" t="s">
        <v>9</v>
      </c>
      <c r="G90" s="146">
        <v>129016.48</v>
      </c>
      <c r="H90" s="182">
        <v>4.2</v>
      </c>
      <c r="I90" s="172" t="s">
        <v>187</v>
      </c>
      <c r="K90" s="302"/>
      <c r="L90" s="301"/>
    </row>
    <row r="91" spans="1:12" s="139" customFormat="1" ht="45" customHeight="1" x14ac:dyDescent="0.25">
      <c r="A91" s="264"/>
      <c r="B91" s="180">
        <v>110000083815</v>
      </c>
      <c r="C91" s="184" t="s">
        <v>391</v>
      </c>
      <c r="D91" s="145">
        <v>44895</v>
      </c>
      <c r="E91" s="145">
        <v>45992</v>
      </c>
      <c r="F91" s="144" t="s">
        <v>9</v>
      </c>
      <c r="G91" s="146">
        <v>93425.72</v>
      </c>
      <c r="H91" s="182">
        <v>4.2</v>
      </c>
      <c r="I91" s="172" t="s">
        <v>187</v>
      </c>
      <c r="K91" s="302"/>
      <c r="L91" s="301"/>
    </row>
    <row r="92" spans="1:12" s="139" customFormat="1" ht="45" customHeight="1" x14ac:dyDescent="0.25">
      <c r="A92" s="264"/>
      <c r="B92" s="180">
        <v>110000083806</v>
      </c>
      <c r="C92" s="184" t="s">
        <v>391</v>
      </c>
      <c r="D92" s="145">
        <v>44895</v>
      </c>
      <c r="E92" s="145">
        <v>45992</v>
      </c>
      <c r="F92" s="144" t="s">
        <v>9</v>
      </c>
      <c r="G92" s="146">
        <v>203074.67</v>
      </c>
      <c r="H92" s="182">
        <v>4.2</v>
      </c>
      <c r="I92" s="172" t="s">
        <v>187</v>
      </c>
      <c r="K92" s="302"/>
    </row>
    <row r="93" spans="1:12" s="139" customFormat="1" ht="45" customHeight="1" x14ac:dyDescent="0.25">
      <c r="A93" s="264"/>
      <c r="B93" s="180">
        <v>110000083790</v>
      </c>
      <c r="C93" s="184" t="s">
        <v>392</v>
      </c>
      <c r="D93" s="145">
        <v>44895</v>
      </c>
      <c r="E93" s="145">
        <v>45992</v>
      </c>
      <c r="F93" s="144" t="s">
        <v>9</v>
      </c>
      <c r="G93" s="146">
        <v>26146455.379999999</v>
      </c>
      <c r="H93" s="182">
        <v>4.2</v>
      </c>
      <c r="I93" s="172" t="s">
        <v>187</v>
      </c>
      <c r="K93" s="302"/>
    </row>
    <row r="94" spans="1:12" s="139" customFormat="1" ht="45" customHeight="1" x14ac:dyDescent="0.25">
      <c r="A94" s="264"/>
      <c r="B94" s="180">
        <v>110000083780</v>
      </c>
      <c r="C94" s="184" t="s">
        <v>185</v>
      </c>
      <c r="D94" s="145">
        <v>44895</v>
      </c>
      <c r="E94" s="145">
        <v>45992</v>
      </c>
      <c r="F94" s="144" t="s">
        <v>9</v>
      </c>
      <c r="G94" s="146">
        <v>9050867.8300000001</v>
      </c>
      <c r="H94" s="182">
        <v>4.2</v>
      </c>
      <c r="I94" s="172" t="s">
        <v>187</v>
      </c>
      <c r="K94" s="302"/>
    </row>
    <row r="95" spans="1:12" s="139" customFormat="1" ht="45" customHeight="1" x14ac:dyDescent="0.25">
      <c r="A95" s="264"/>
      <c r="B95" s="180">
        <v>110000084017</v>
      </c>
      <c r="C95" s="181" t="s">
        <v>341</v>
      </c>
      <c r="D95" s="144">
        <v>44902</v>
      </c>
      <c r="E95" s="144">
        <v>46000</v>
      </c>
      <c r="F95" s="144" t="s">
        <v>9</v>
      </c>
      <c r="G95" s="146">
        <v>180336.44</v>
      </c>
      <c r="H95" s="167">
        <v>4.95</v>
      </c>
      <c r="I95" s="172" t="s">
        <v>187</v>
      </c>
      <c r="K95" s="302"/>
    </row>
    <row r="96" spans="1:12" s="8" customFormat="1" ht="45" customHeight="1" x14ac:dyDescent="0.25">
      <c r="A96" s="183"/>
      <c r="B96" s="180">
        <v>110000084008</v>
      </c>
      <c r="C96" s="181" t="s">
        <v>340</v>
      </c>
      <c r="D96" s="144">
        <v>44902</v>
      </c>
      <c r="E96" s="144">
        <v>46000</v>
      </c>
      <c r="F96" s="144" t="s">
        <v>9</v>
      </c>
      <c r="G96" s="146">
        <v>414738.6</v>
      </c>
      <c r="H96" s="167">
        <v>4.95</v>
      </c>
      <c r="I96" s="172"/>
      <c r="K96" s="303"/>
    </row>
    <row r="97" spans="1:10" s="8" customFormat="1" ht="45" customHeight="1" x14ac:dyDescent="0.25">
      <c r="A97" s="183"/>
      <c r="B97" s="180">
        <v>110000083996</v>
      </c>
      <c r="C97" s="181" t="s">
        <v>386</v>
      </c>
      <c r="D97" s="144">
        <v>44902</v>
      </c>
      <c r="E97" s="144">
        <v>46000</v>
      </c>
      <c r="F97" s="144" t="s">
        <v>9</v>
      </c>
      <c r="G97" s="146">
        <v>937882.96</v>
      </c>
      <c r="H97" s="167">
        <v>4.95</v>
      </c>
      <c r="I97" s="172"/>
    </row>
    <row r="98" spans="1:10" s="8" customFormat="1" ht="45" customHeight="1" x14ac:dyDescent="0.25">
      <c r="A98" s="183"/>
      <c r="B98" s="180">
        <v>110000058643</v>
      </c>
      <c r="C98" s="181" t="s">
        <v>83</v>
      </c>
      <c r="D98" s="144">
        <v>43098</v>
      </c>
      <c r="E98" s="144">
        <v>46020</v>
      </c>
      <c r="F98" s="144" t="s">
        <v>47</v>
      </c>
      <c r="G98" s="146">
        <v>5125000</v>
      </c>
      <c r="H98" s="167">
        <v>3.3</v>
      </c>
      <c r="I98" s="172"/>
    </row>
    <row r="99" spans="1:10" s="8" customFormat="1" ht="45" customHeight="1" x14ac:dyDescent="0.25">
      <c r="A99" s="183"/>
      <c r="B99" s="180">
        <v>110000058616</v>
      </c>
      <c r="C99" s="181" t="s">
        <v>510</v>
      </c>
      <c r="D99" s="144">
        <v>43098</v>
      </c>
      <c r="E99" s="144">
        <v>46020</v>
      </c>
      <c r="F99" s="144" t="s">
        <v>47</v>
      </c>
      <c r="G99" s="146">
        <v>216629.38</v>
      </c>
      <c r="H99" s="167">
        <v>3.3</v>
      </c>
      <c r="I99" s="172"/>
    </row>
    <row r="100" spans="1:10" s="8" customFormat="1" ht="45" customHeight="1" x14ac:dyDescent="0.25">
      <c r="A100" s="183"/>
      <c r="B100" s="180">
        <v>110000058607</v>
      </c>
      <c r="C100" s="181" t="s">
        <v>507</v>
      </c>
      <c r="D100" s="144">
        <v>43098</v>
      </c>
      <c r="E100" s="144">
        <v>46020</v>
      </c>
      <c r="F100" s="144" t="s">
        <v>47</v>
      </c>
      <c r="G100" s="146">
        <v>2746534.21</v>
      </c>
      <c r="H100" s="167">
        <v>3.3</v>
      </c>
      <c r="I100" s="172"/>
    </row>
    <row r="101" spans="1:10" s="8" customFormat="1" ht="45" customHeight="1" x14ac:dyDescent="0.25">
      <c r="A101" s="183"/>
      <c r="B101" s="180">
        <v>110000058590</v>
      </c>
      <c r="C101" s="181" t="s">
        <v>186</v>
      </c>
      <c r="D101" s="144">
        <v>43098</v>
      </c>
      <c r="E101" s="144">
        <v>46020</v>
      </c>
      <c r="F101" s="144" t="s">
        <v>47</v>
      </c>
      <c r="G101" s="146">
        <v>69205517.420000002</v>
      </c>
      <c r="H101" s="167">
        <v>3.3</v>
      </c>
      <c r="I101" s="172"/>
    </row>
    <row r="102" spans="1:10" s="8" customFormat="1" ht="45" customHeight="1" x14ac:dyDescent="0.25">
      <c r="A102" s="183"/>
      <c r="B102" s="180">
        <v>110000058581</v>
      </c>
      <c r="C102" s="181" t="s">
        <v>185</v>
      </c>
      <c r="D102" s="144">
        <v>43098</v>
      </c>
      <c r="E102" s="144">
        <v>46020</v>
      </c>
      <c r="F102" s="144" t="s">
        <v>47</v>
      </c>
      <c r="G102" s="146">
        <v>36500662.579999998</v>
      </c>
      <c r="H102" s="167">
        <v>3.3</v>
      </c>
      <c r="I102" s="172"/>
    </row>
    <row r="103" spans="1:10" s="8" customFormat="1" ht="45" customHeight="1" x14ac:dyDescent="0.25">
      <c r="A103" s="183"/>
      <c r="B103" s="176">
        <v>110000090810</v>
      </c>
      <c r="C103" s="137" t="s">
        <v>23</v>
      </c>
      <c r="D103" s="144">
        <v>45379</v>
      </c>
      <c r="E103" s="145">
        <v>46080</v>
      </c>
      <c r="F103" s="144" t="s">
        <v>437</v>
      </c>
      <c r="G103" s="146">
        <v>1420156.1</v>
      </c>
      <c r="H103" s="167">
        <v>2.25</v>
      </c>
      <c r="I103" s="172" t="s">
        <v>383</v>
      </c>
    </row>
    <row r="104" spans="1:10" s="8" customFormat="1" ht="45" customHeight="1" x14ac:dyDescent="0.25">
      <c r="A104" s="183"/>
      <c r="B104" s="180">
        <v>110000090112</v>
      </c>
      <c r="C104" s="181" t="s">
        <v>23</v>
      </c>
      <c r="D104" s="144">
        <v>45345</v>
      </c>
      <c r="E104" s="144">
        <v>46080</v>
      </c>
      <c r="F104" s="144" t="s">
        <v>434</v>
      </c>
      <c r="G104" s="146">
        <v>2909115.48</v>
      </c>
      <c r="H104" s="167">
        <v>2.25</v>
      </c>
      <c r="I104" s="172" t="s">
        <v>408</v>
      </c>
    </row>
    <row r="105" spans="1:10" s="8" customFormat="1" ht="45" customHeight="1" x14ac:dyDescent="0.25">
      <c r="A105" s="183"/>
      <c r="B105" s="180">
        <v>110000089210</v>
      </c>
      <c r="C105" s="181" t="s">
        <v>23</v>
      </c>
      <c r="D105" s="144">
        <v>45294</v>
      </c>
      <c r="E105" s="144">
        <v>46080</v>
      </c>
      <c r="F105" s="144" t="s">
        <v>427</v>
      </c>
      <c r="G105" s="146">
        <v>751970.89</v>
      </c>
      <c r="H105" s="167">
        <v>2.25</v>
      </c>
      <c r="I105" s="172" t="s">
        <v>405</v>
      </c>
    </row>
    <row r="106" spans="1:10" s="8" customFormat="1" ht="45" customHeight="1" x14ac:dyDescent="0.25">
      <c r="A106" s="183"/>
      <c r="B106" s="180">
        <v>110000088929</v>
      </c>
      <c r="C106" s="181" t="s">
        <v>23</v>
      </c>
      <c r="D106" s="144">
        <v>45274</v>
      </c>
      <c r="E106" s="144">
        <v>46080</v>
      </c>
      <c r="F106" s="144" t="s">
        <v>414</v>
      </c>
      <c r="G106" s="146">
        <v>7294832.2599999998</v>
      </c>
      <c r="H106" s="167">
        <v>2.25</v>
      </c>
      <c r="I106" s="172" t="s">
        <v>422</v>
      </c>
    </row>
    <row r="107" spans="1:10" s="8" customFormat="1" ht="45" customHeight="1" x14ac:dyDescent="0.25">
      <c r="A107" s="183"/>
      <c r="B107" s="180">
        <v>110000088900</v>
      </c>
      <c r="C107" s="181" t="s">
        <v>23</v>
      </c>
      <c r="D107" s="144">
        <v>45266</v>
      </c>
      <c r="E107" s="144">
        <v>46080</v>
      </c>
      <c r="F107" s="144" t="s">
        <v>417</v>
      </c>
      <c r="G107" s="146">
        <v>2476736.08</v>
      </c>
      <c r="H107" s="167">
        <v>2.25</v>
      </c>
      <c r="I107" s="172" t="s">
        <v>416</v>
      </c>
    </row>
    <row r="108" spans="1:10" s="8" customFormat="1" ht="45" customHeight="1" x14ac:dyDescent="0.25">
      <c r="A108" s="183"/>
      <c r="B108" s="180">
        <v>110000088830</v>
      </c>
      <c r="C108" s="181" t="s">
        <v>23</v>
      </c>
      <c r="D108" s="144">
        <v>45264</v>
      </c>
      <c r="E108" s="144">
        <v>46080</v>
      </c>
      <c r="F108" s="144" t="s">
        <v>421</v>
      </c>
      <c r="G108" s="146">
        <v>3051266.24</v>
      </c>
      <c r="H108" s="167">
        <v>2.25</v>
      </c>
      <c r="I108" s="172" t="s">
        <v>418</v>
      </c>
    </row>
    <row r="109" spans="1:10" s="8" customFormat="1" ht="45" customHeight="1" x14ac:dyDescent="0.25">
      <c r="A109" s="183"/>
      <c r="B109" s="180">
        <v>110000088740</v>
      </c>
      <c r="C109" s="181" t="s">
        <v>23</v>
      </c>
      <c r="D109" s="144">
        <v>45257</v>
      </c>
      <c r="E109" s="144">
        <v>46080</v>
      </c>
      <c r="F109" s="144" t="s">
        <v>404</v>
      </c>
      <c r="G109" s="146">
        <v>2641259.83</v>
      </c>
      <c r="H109" s="167">
        <v>2.25</v>
      </c>
      <c r="I109" s="172" t="s">
        <v>428</v>
      </c>
      <c r="J109" s="386"/>
    </row>
    <row r="110" spans="1:10" s="8" customFormat="1" ht="45" customHeight="1" x14ac:dyDescent="0.25">
      <c r="A110" s="183"/>
      <c r="B110" s="180">
        <v>110000088240</v>
      </c>
      <c r="C110" s="181" t="s">
        <v>23</v>
      </c>
      <c r="D110" s="144">
        <v>45231</v>
      </c>
      <c r="E110" s="144">
        <v>46080</v>
      </c>
      <c r="F110" s="144" t="s">
        <v>407</v>
      </c>
      <c r="G110" s="146">
        <v>4960175.99</v>
      </c>
      <c r="H110" s="167">
        <v>2.25</v>
      </c>
      <c r="I110" s="172" t="s">
        <v>432</v>
      </c>
    </row>
    <row r="111" spans="1:10" s="8" customFormat="1" ht="45" customHeight="1" x14ac:dyDescent="0.25">
      <c r="A111" s="183"/>
      <c r="B111" s="180">
        <v>110000087654</v>
      </c>
      <c r="C111" s="181" t="s">
        <v>23</v>
      </c>
      <c r="D111" s="144">
        <v>45189</v>
      </c>
      <c r="E111" s="144">
        <v>46080</v>
      </c>
      <c r="F111" s="144" t="s">
        <v>9</v>
      </c>
      <c r="G111" s="146">
        <v>2067302.26</v>
      </c>
      <c r="H111" s="167">
        <v>2.25</v>
      </c>
      <c r="I111" s="172"/>
    </row>
    <row r="112" spans="1:10" s="8" customFormat="1" ht="45" customHeight="1" x14ac:dyDescent="0.25">
      <c r="A112" s="114"/>
      <c r="B112" s="180">
        <v>110000091568</v>
      </c>
      <c r="C112" s="181" t="s">
        <v>23</v>
      </c>
      <c r="D112" s="144">
        <v>45408</v>
      </c>
      <c r="E112" s="144">
        <v>46080</v>
      </c>
      <c r="F112" s="144" t="s">
        <v>447</v>
      </c>
      <c r="G112" s="146">
        <v>4200251.16</v>
      </c>
      <c r="H112" s="167">
        <v>2.25</v>
      </c>
      <c r="I112" s="172" t="s">
        <v>445</v>
      </c>
    </row>
    <row r="113" spans="1:10" s="8" customFormat="1" ht="45" customHeight="1" x14ac:dyDescent="0.25">
      <c r="A113" s="114"/>
      <c r="B113" s="180">
        <v>110000091432</v>
      </c>
      <c r="C113" s="181" t="s">
        <v>23</v>
      </c>
      <c r="D113" s="144">
        <v>45401</v>
      </c>
      <c r="E113" s="144">
        <v>46080</v>
      </c>
      <c r="F113" s="144" t="s">
        <v>469</v>
      </c>
      <c r="G113" s="146">
        <v>1878286.91</v>
      </c>
      <c r="H113" s="167">
        <v>2.25</v>
      </c>
      <c r="I113" s="172" t="s">
        <v>470</v>
      </c>
    </row>
    <row r="114" spans="1:10" s="8" customFormat="1" ht="45" customHeight="1" x14ac:dyDescent="0.25">
      <c r="A114" s="114"/>
      <c r="B114" s="180">
        <v>110000092091</v>
      </c>
      <c r="C114" s="181" t="s">
        <v>23</v>
      </c>
      <c r="D114" s="144">
        <v>45432</v>
      </c>
      <c r="E114" s="144">
        <v>46080</v>
      </c>
      <c r="F114" s="144" t="s">
        <v>473</v>
      </c>
      <c r="G114" s="146">
        <v>1053348.51</v>
      </c>
      <c r="H114" s="167">
        <v>2.25</v>
      </c>
      <c r="I114" s="172" t="s">
        <v>474</v>
      </c>
    </row>
    <row r="115" spans="1:10" s="8" customFormat="1" ht="45" customHeight="1" x14ac:dyDescent="0.25">
      <c r="A115" s="114"/>
      <c r="B115" s="377">
        <v>110000093203</v>
      </c>
      <c r="C115" s="428" t="s">
        <v>23</v>
      </c>
      <c r="D115" s="378">
        <v>45481</v>
      </c>
      <c r="E115" s="378">
        <v>46080</v>
      </c>
      <c r="F115" s="378" t="s">
        <v>560</v>
      </c>
      <c r="G115" s="379">
        <v>1299470.0900000001</v>
      </c>
      <c r="H115" s="430">
        <v>2.25</v>
      </c>
      <c r="I115" s="172" t="s">
        <v>561</v>
      </c>
    </row>
    <row r="116" spans="1:10" s="8" customFormat="1" ht="45" customHeight="1" x14ac:dyDescent="0.25">
      <c r="A116" s="114"/>
      <c r="B116" s="377">
        <v>110000092995</v>
      </c>
      <c r="C116" s="428" t="s">
        <v>23</v>
      </c>
      <c r="D116" s="378">
        <v>45475</v>
      </c>
      <c r="E116" s="378">
        <v>46080</v>
      </c>
      <c r="F116" s="378" t="s">
        <v>575</v>
      </c>
      <c r="G116" s="379">
        <v>1779322.65</v>
      </c>
      <c r="H116" s="430">
        <v>2.25</v>
      </c>
      <c r="I116" s="172" t="s">
        <v>576</v>
      </c>
    </row>
    <row r="117" spans="1:10" s="8" customFormat="1" ht="45" customHeight="1" x14ac:dyDescent="0.25">
      <c r="A117" s="114"/>
      <c r="B117" s="180">
        <v>110000092529</v>
      </c>
      <c r="C117" s="181" t="s">
        <v>391</v>
      </c>
      <c r="D117" s="144">
        <v>45453</v>
      </c>
      <c r="E117" s="144">
        <v>46183</v>
      </c>
      <c r="F117" s="144" t="s">
        <v>461</v>
      </c>
      <c r="G117" s="146">
        <v>64430260.560000002</v>
      </c>
      <c r="H117" s="167">
        <v>5.5</v>
      </c>
      <c r="I117" s="172" t="s">
        <v>479</v>
      </c>
    </row>
    <row r="118" spans="1:10" s="8" customFormat="1" ht="45" customHeight="1" x14ac:dyDescent="0.25">
      <c r="A118" s="114"/>
      <c r="B118" s="180">
        <v>110000092538</v>
      </c>
      <c r="C118" s="181" t="s">
        <v>392</v>
      </c>
      <c r="D118" s="144">
        <v>45453</v>
      </c>
      <c r="E118" s="144">
        <v>46183</v>
      </c>
      <c r="F118" s="144" t="s">
        <v>461</v>
      </c>
      <c r="G118" s="146">
        <v>132930208.81</v>
      </c>
      <c r="H118" s="167">
        <v>5.5</v>
      </c>
      <c r="I118" s="172" t="s">
        <v>479</v>
      </c>
    </row>
    <row r="119" spans="1:10" s="8" customFormat="1" ht="45" customHeight="1" x14ac:dyDescent="0.25">
      <c r="A119" s="114"/>
      <c r="B119" s="180">
        <v>110000092547</v>
      </c>
      <c r="C119" s="181" t="s">
        <v>510</v>
      </c>
      <c r="D119" s="144">
        <v>45453</v>
      </c>
      <c r="E119" s="144">
        <v>46183</v>
      </c>
      <c r="F119" s="144" t="s">
        <v>461</v>
      </c>
      <c r="G119" s="146">
        <v>2639530.63</v>
      </c>
      <c r="H119" s="167">
        <v>5.5</v>
      </c>
      <c r="I119" s="172" t="s">
        <v>479</v>
      </c>
    </row>
    <row r="120" spans="1:10" s="8" customFormat="1" ht="45" customHeight="1" x14ac:dyDescent="0.25">
      <c r="A120" s="114"/>
      <c r="B120" s="377">
        <v>110000093876</v>
      </c>
      <c r="C120" s="428" t="s">
        <v>23</v>
      </c>
      <c r="D120" s="378">
        <v>45491</v>
      </c>
      <c r="E120" s="378">
        <v>46444</v>
      </c>
      <c r="F120" s="378" t="s">
        <v>519</v>
      </c>
      <c r="G120" s="379">
        <v>2322701.4900000002</v>
      </c>
      <c r="H120" s="430">
        <v>2.25</v>
      </c>
      <c r="I120" s="172" t="s">
        <v>520</v>
      </c>
    </row>
    <row r="121" spans="1:10" s="8" customFormat="1" ht="45" customHeight="1" x14ac:dyDescent="0.25">
      <c r="A121" s="114"/>
      <c r="B121" s="377">
        <v>110000092986</v>
      </c>
      <c r="C121" s="428" t="s">
        <v>23</v>
      </c>
      <c r="D121" s="378">
        <v>45475</v>
      </c>
      <c r="E121" s="378">
        <v>46444</v>
      </c>
      <c r="F121" s="378" t="s">
        <v>564</v>
      </c>
      <c r="G121" s="379">
        <v>4001368.48</v>
      </c>
      <c r="H121" s="430">
        <v>2.25</v>
      </c>
      <c r="I121" s="172" t="s">
        <v>565</v>
      </c>
    </row>
    <row r="122" spans="1:10" s="8" customFormat="1" ht="45" customHeight="1" x14ac:dyDescent="0.25">
      <c r="A122" s="114"/>
      <c r="B122" s="377">
        <v>110000093212</v>
      </c>
      <c r="C122" s="428" t="s">
        <v>23</v>
      </c>
      <c r="D122" s="378" t="s">
        <v>568</v>
      </c>
      <c r="E122" s="378">
        <v>46444</v>
      </c>
      <c r="F122" s="378" t="s">
        <v>569</v>
      </c>
      <c r="G122" s="379">
        <v>7617852.9500000002</v>
      </c>
      <c r="H122" s="430">
        <v>2.25</v>
      </c>
      <c r="I122" s="172" t="s">
        <v>570</v>
      </c>
    </row>
    <row r="123" spans="1:10" s="299" customFormat="1" ht="45" customHeight="1" x14ac:dyDescent="0.25">
      <c r="A123" s="298"/>
      <c r="B123" s="180">
        <v>110000091020</v>
      </c>
      <c r="C123" s="181" t="s">
        <v>494</v>
      </c>
      <c r="D123" s="145">
        <v>45397</v>
      </c>
      <c r="E123" s="145">
        <v>47224</v>
      </c>
      <c r="F123" s="144" t="s">
        <v>442</v>
      </c>
      <c r="G123" s="146">
        <v>3800000</v>
      </c>
      <c r="H123" s="167">
        <v>5.35</v>
      </c>
      <c r="I123" s="372" t="s">
        <v>443</v>
      </c>
      <c r="J123" s="369"/>
    </row>
    <row r="124" spans="1:10" s="8" customFormat="1" ht="45" customHeight="1" x14ac:dyDescent="0.25">
      <c r="A124" s="183"/>
      <c r="B124" s="180">
        <v>110000084133</v>
      </c>
      <c r="C124" s="181" t="s">
        <v>392</v>
      </c>
      <c r="D124" s="144" t="s">
        <v>191</v>
      </c>
      <c r="E124" s="144" t="s">
        <v>192</v>
      </c>
      <c r="F124" s="144" t="s">
        <v>47</v>
      </c>
      <c r="G124" s="146">
        <v>6626028.7699999996</v>
      </c>
      <c r="H124" s="167">
        <v>5.5</v>
      </c>
      <c r="I124" s="172" t="s">
        <v>330</v>
      </c>
    </row>
    <row r="125" spans="1:10" s="8" customFormat="1" ht="45" customHeight="1" x14ac:dyDescent="0.25">
      <c r="A125" s="183"/>
      <c r="B125" s="180">
        <v>110000084124</v>
      </c>
      <c r="C125" s="181" t="s">
        <v>391</v>
      </c>
      <c r="D125" s="144" t="s">
        <v>191</v>
      </c>
      <c r="E125" s="144" t="s">
        <v>192</v>
      </c>
      <c r="F125" s="144" t="s">
        <v>47</v>
      </c>
      <c r="G125" s="146">
        <v>4339644.96</v>
      </c>
      <c r="H125" s="167">
        <v>5.5</v>
      </c>
      <c r="I125" s="172" t="s">
        <v>330</v>
      </c>
    </row>
    <row r="126" spans="1:10" s="8" customFormat="1" ht="45" customHeight="1" x14ac:dyDescent="0.25">
      <c r="A126" s="183"/>
      <c r="B126" s="180">
        <v>110000084115</v>
      </c>
      <c r="C126" s="181" t="s">
        <v>510</v>
      </c>
      <c r="D126" s="144" t="s">
        <v>191</v>
      </c>
      <c r="E126" s="144" t="s">
        <v>192</v>
      </c>
      <c r="F126" s="144" t="s">
        <v>47</v>
      </c>
      <c r="G126" s="146">
        <v>29750.16</v>
      </c>
      <c r="H126" s="167">
        <v>5.5</v>
      </c>
      <c r="I126" s="172" t="s">
        <v>330</v>
      </c>
    </row>
    <row r="127" spans="1:10" s="8" customFormat="1" ht="45" customHeight="1" x14ac:dyDescent="0.25">
      <c r="A127" s="183"/>
      <c r="B127" s="180">
        <v>110000084106</v>
      </c>
      <c r="C127" s="181" t="s">
        <v>507</v>
      </c>
      <c r="D127" s="144" t="s">
        <v>191</v>
      </c>
      <c r="E127" s="144" t="s">
        <v>192</v>
      </c>
      <c r="F127" s="144" t="s">
        <v>47</v>
      </c>
      <c r="G127" s="146">
        <v>427432.2</v>
      </c>
      <c r="H127" s="167">
        <v>5.5</v>
      </c>
      <c r="I127" s="172" t="s">
        <v>330</v>
      </c>
    </row>
    <row r="128" spans="1:10" s="8" customFormat="1" ht="45" customHeight="1" x14ac:dyDescent="0.25">
      <c r="A128" s="183"/>
      <c r="B128" s="180">
        <v>110000085524</v>
      </c>
      <c r="C128" s="181" t="s">
        <v>512</v>
      </c>
      <c r="D128" s="144">
        <v>45030</v>
      </c>
      <c r="E128" s="144">
        <v>48683</v>
      </c>
      <c r="F128" s="144" t="s">
        <v>322</v>
      </c>
      <c r="G128" s="146">
        <v>81057222.730000004</v>
      </c>
      <c r="H128" s="167">
        <v>5.8</v>
      </c>
      <c r="I128" s="172"/>
    </row>
    <row r="129" spans="1:9" s="8" customFormat="1" ht="45" customHeight="1" x14ac:dyDescent="0.25">
      <c r="A129" s="183"/>
      <c r="B129" s="180">
        <v>110000085515</v>
      </c>
      <c r="C129" s="181" t="s">
        <v>339</v>
      </c>
      <c r="D129" s="144">
        <v>45030</v>
      </c>
      <c r="E129" s="144">
        <v>48683</v>
      </c>
      <c r="F129" s="144" t="s">
        <v>322</v>
      </c>
      <c r="G129" s="146">
        <v>268942777.26999998</v>
      </c>
      <c r="H129" s="167">
        <v>5.8</v>
      </c>
      <c r="I129" s="172" t="s">
        <v>193</v>
      </c>
    </row>
    <row r="130" spans="1:9" s="8" customFormat="1" ht="45" customHeight="1" x14ac:dyDescent="0.25">
      <c r="A130" s="183"/>
      <c r="B130" s="180">
        <v>110000086254</v>
      </c>
      <c r="C130" s="181" t="s">
        <v>170</v>
      </c>
      <c r="D130" s="144">
        <v>45091</v>
      </c>
      <c r="E130" s="144">
        <v>48744</v>
      </c>
      <c r="F130" s="144" t="s">
        <v>143</v>
      </c>
      <c r="G130" s="146">
        <v>926026.68</v>
      </c>
      <c r="H130" s="167">
        <v>5.8</v>
      </c>
      <c r="I130" s="172" t="s">
        <v>193</v>
      </c>
    </row>
    <row r="131" spans="1:9" s="8" customFormat="1" ht="45" customHeight="1" x14ac:dyDescent="0.25">
      <c r="A131" s="183"/>
      <c r="B131" s="180">
        <v>110000086245</v>
      </c>
      <c r="C131" s="181" t="s">
        <v>342</v>
      </c>
      <c r="D131" s="144">
        <v>45091</v>
      </c>
      <c r="E131" s="144">
        <v>48744</v>
      </c>
      <c r="F131" s="144" t="s">
        <v>143</v>
      </c>
      <c r="G131" s="146">
        <v>17269987.920000002</v>
      </c>
      <c r="H131" s="167">
        <v>5.8</v>
      </c>
      <c r="I131" s="172" t="s">
        <v>193</v>
      </c>
    </row>
    <row r="132" spans="1:9" s="8" customFormat="1" ht="45" customHeight="1" x14ac:dyDescent="0.25">
      <c r="A132" s="183"/>
      <c r="B132" s="180">
        <v>110000086236</v>
      </c>
      <c r="C132" s="181" t="s">
        <v>392</v>
      </c>
      <c r="D132" s="144">
        <v>45091</v>
      </c>
      <c r="E132" s="144">
        <v>48744</v>
      </c>
      <c r="F132" s="144" t="s">
        <v>143</v>
      </c>
      <c r="G132" s="146">
        <v>197983159.87</v>
      </c>
      <c r="H132" s="167">
        <v>5.8</v>
      </c>
      <c r="I132" s="172" t="s">
        <v>193</v>
      </c>
    </row>
    <row r="133" spans="1:9" s="8" customFormat="1" ht="45" customHeight="1" x14ac:dyDescent="0.25">
      <c r="A133" s="183"/>
      <c r="B133" s="180">
        <v>110000086227</v>
      </c>
      <c r="C133" s="181" t="s">
        <v>391</v>
      </c>
      <c r="D133" s="144">
        <v>45091</v>
      </c>
      <c r="E133" s="144">
        <v>48744</v>
      </c>
      <c r="F133" s="144" t="s">
        <v>143</v>
      </c>
      <c r="G133" s="146">
        <v>83820825.530000001</v>
      </c>
      <c r="H133" s="167">
        <v>5.8</v>
      </c>
      <c r="I133" s="172"/>
    </row>
    <row r="134" spans="1:9" s="8" customFormat="1" ht="29.25" customHeight="1" x14ac:dyDescent="0.25">
      <c r="A134" s="99"/>
      <c r="B134" s="804" t="s">
        <v>25</v>
      </c>
      <c r="C134" s="805"/>
      <c r="D134" s="805"/>
      <c r="E134" s="805"/>
      <c r="F134" s="805"/>
      <c r="G134" s="186">
        <f>SUM(G135:G246)</f>
        <v>2840862498.6599998</v>
      </c>
      <c r="H134" s="419"/>
      <c r="I134" s="172"/>
    </row>
    <row r="135" spans="1:9" s="8" customFormat="1" ht="45" customHeight="1" x14ac:dyDescent="0.25">
      <c r="A135" s="99"/>
      <c r="B135" s="432" t="s">
        <v>528</v>
      </c>
      <c r="C135" s="428" t="s">
        <v>503</v>
      </c>
      <c r="D135" s="378">
        <v>45485</v>
      </c>
      <c r="E135" s="421">
        <v>45513</v>
      </c>
      <c r="F135" s="378" t="s">
        <v>431</v>
      </c>
      <c r="G135" s="379">
        <v>200000000</v>
      </c>
      <c r="H135" s="430">
        <v>4.1875</v>
      </c>
      <c r="I135" s="172" t="s">
        <v>529</v>
      </c>
    </row>
    <row r="136" spans="1:9" s="8" customFormat="1" ht="45" customHeight="1" x14ac:dyDescent="0.25">
      <c r="A136" s="183"/>
      <c r="B136" s="176" t="s">
        <v>88</v>
      </c>
      <c r="C136" s="181" t="s">
        <v>136</v>
      </c>
      <c r="D136" s="145">
        <v>43318</v>
      </c>
      <c r="E136" s="145">
        <v>45509</v>
      </c>
      <c r="F136" s="144" t="s">
        <v>16</v>
      </c>
      <c r="G136" s="146">
        <v>37500000</v>
      </c>
      <c r="H136" s="167">
        <v>4.875</v>
      </c>
      <c r="I136" s="172" t="s">
        <v>350</v>
      </c>
    </row>
    <row r="137" spans="1:9" s="10" customFormat="1" ht="45" customHeight="1" x14ac:dyDescent="0.25">
      <c r="A137" s="306"/>
      <c r="B137" s="176" t="s">
        <v>93</v>
      </c>
      <c r="C137" s="181" t="s">
        <v>83</v>
      </c>
      <c r="D137" s="145">
        <v>43340</v>
      </c>
      <c r="E137" s="145">
        <v>45530</v>
      </c>
      <c r="F137" s="144" t="s">
        <v>16</v>
      </c>
      <c r="G137" s="146">
        <v>16766916.210000001</v>
      </c>
      <c r="H137" s="167">
        <v>4.875</v>
      </c>
      <c r="I137" s="34" t="s">
        <v>313</v>
      </c>
    </row>
    <row r="138" spans="1:9" s="10" customFormat="1" ht="45" customHeight="1" x14ac:dyDescent="0.25">
      <c r="A138" s="306"/>
      <c r="B138" s="176" t="s">
        <v>92</v>
      </c>
      <c r="C138" s="137" t="s">
        <v>391</v>
      </c>
      <c r="D138" s="145">
        <v>43340</v>
      </c>
      <c r="E138" s="145">
        <v>45530</v>
      </c>
      <c r="F138" s="144" t="s">
        <v>16</v>
      </c>
      <c r="G138" s="146">
        <v>8254649.3200000003</v>
      </c>
      <c r="H138" s="167">
        <v>4.875</v>
      </c>
      <c r="I138" s="34" t="s">
        <v>308</v>
      </c>
    </row>
    <row r="139" spans="1:9" s="10" customFormat="1" ht="45" customHeight="1" x14ac:dyDescent="0.25">
      <c r="A139" s="306"/>
      <c r="B139" s="176" t="s">
        <v>91</v>
      </c>
      <c r="C139" s="137" t="s">
        <v>392</v>
      </c>
      <c r="D139" s="145">
        <v>43340</v>
      </c>
      <c r="E139" s="145">
        <v>45530</v>
      </c>
      <c r="F139" s="144" t="s">
        <v>16</v>
      </c>
      <c r="G139" s="146">
        <v>10971068.67</v>
      </c>
      <c r="H139" s="167">
        <v>4.875</v>
      </c>
      <c r="I139" s="34" t="s">
        <v>315</v>
      </c>
    </row>
    <row r="140" spans="1:9" s="10" customFormat="1" ht="45" customHeight="1" x14ac:dyDescent="0.25">
      <c r="A140" s="306"/>
      <c r="B140" s="176" t="s">
        <v>90</v>
      </c>
      <c r="C140" s="181" t="s">
        <v>510</v>
      </c>
      <c r="D140" s="145">
        <v>43340</v>
      </c>
      <c r="E140" s="145">
        <v>45530</v>
      </c>
      <c r="F140" s="144" t="s">
        <v>16</v>
      </c>
      <c r="G140" s="146">
        <v>105162.19</v>
      </c>
      <c r="H140" s="167">
        <v>4.875</v>
      </c>
      <c r="I140" s="34" t="s">
        <v>318</v>
      </c>
    </row>
    <row r="141" spans="1:9" s="8" customFormat="1" ht="45" customHeight="1" x14ac:dyDescent="0.25">
      <c r="A141" s="99"/>
      <c r="B141" s="176" t="s">
        <v>64</v>
      </c>
      <c r="C141" s="181" t="s">
        <v>83</v>
      </c>
      <c r="D141" s="145">
        <v>43017</v>
      </c>
      <c r="E141" s="145">
        <v>45574</v>
      </c>
      <c r="F141" s="144" t="s">
        <v>5</v>
      </c>
      <c r="G141" s="146">
        <v>4861764.57</v>
      </c>
      <c r="H141" s="167">
        <v>4.5</v>
      </c>
      <c r="I141" s="172"/>
    </row>
    <row r="142" spans="1:9" s="12" customFormat="1" ht="45" customHeight="1" x14ac:dyDescent="0.25">
      <c r="A142" s="183"/>
      <c r="B142" s="176" t="s">
        <v>65</v>
      </c>
      <c r="C142" s="137" t="s">
        <v>391</v>
      </c>
      <c r="D142" s="145">
        <v>43017</v>
      </c>
      <c r="E142" s="145">
        <v>45574</v>
      </c>
      <c r="F142" s="144" t="s">
        <v>5</v>
      </c>
      <c r="G142" s="146">
        <v>11837095.42</v>
      </c>
      <c r="H142" s="167">
        <v>4.5</v>
      </c>
      <c r="I142" s="263"/>
    </row>
    <row r="143" spans="1:9" s="8" customFormat="1" ht="45" customHeight="1" x14ac:dyDescent="0.25">
      <c r="A143" s="183"/>
      <c r="B143" s="176" t="s">
        <v>66</v>
      </c>
      <c r="C143" s="137" t="s">
        <v>392</v>
      </c>
      <c r="D143" s="145">
        <v>43017</v>
      </c>
      <c r="E143" s="145">
        <v>45574</v>
      </c>
      <c r="F143" s="144" t="s">
        <v>5</v>
      </c>
      <c r="G143" s="146">
        <v>15764183.26</v>
      </c>
      <c r="H143" s="167">
        <v>4.5</v>
      </c>
      <c r="I143" s="172"/>
    </row>
    <row r="144" spans="1:9" s="8" customFormat="1" ht="45" customHeight="1" x14ac:dyDescent="0.25">
      <c r="A144" s="99"/>
      <c r="B144" s="176" t="s">
        <v>67</v>
      </c>
      <c r="C144" s="137" t="s">
        <v>507</v>
      </c>
      <c r="D144" s="145">
        <v>43017</v>
      </c>
      <c r="E144" s="145">
        <v>45574</v>
      </c>
      <c r="F144" s="144" t="s">
        <v>5</v>
      </c>
      <c r="G144" s="146">
        <v>2364964.0499999998</v>
      </c>
      <c r="H144" s="167">
        <v>4.5</v>
      </c>
      <c r="I144" s="172"/>
    </row>
    <row r="145" spans="1:9" s="8" customFormat="1" ht="45" customHeight="1" x14ac:dyDescent="0.25">
      <c r="A145" s="99"/>
      <c r="B145" s="176" t="s">
        <v>68</v>
      </c>
      <c r="C145" s="137" t="s">
        <v>510</v>
      </c>
      <c r="D145" s="145">
        <v>43017</v>
      </c>
      <c r="E145" s="145">
        <v>45574</v>
      </c>
      <c r="F145" s="144" t="s">
        <v>5</v>
      </c>
      <c r="G145" s="146">
        <v>171992.7</v>
      </c>
      <c r="H145" s="167">
        <v>4.5</v>
      </c>
      <c r="I145" s="172"/>
    </row>
    <row r="146" spans="1:9" s="8" customFormat="1" ht="45" customHeight="1" x14ac:dyDescent="0.25">
      <c r="A146" s="99"/>
      <c r="B146" s="176" t="s">
        <v>121</v>
      </c>
      <c r="C146" s="181" t="s">
        <v>394</v>
      </c>
      <c r="D146" s="145">
        <v>43815</v>
      </c>
      <c r="E146" s="145">
        <v>45642</v>
      </c>
      <c r="F146" s="144" t="s">
        <v>6</v>
      </c>
      <c r="G146" s="146">
        <v>25000000</v>
      </c>
      <c r="H146" s="167">
        <v>4</v>
      </c>
      <c r="I146" s="172"/>
    </row>
    <row r="147" spans="1:9" s="8" customFormat="1" ht="45" customHeight="1" x14ac:dyDescent="0.25">
      <c r="A147" s="183"/>
      <c r="B147" s="176" t="s">
        <v>110</v>
      </c>
      <c r="C147" s="181" t="s">
        <v>83</v>
      </c>
      <c r="D147" s="144">
        <v>43511</v>
      </c>
      <c r="E147" s="144">
        <v>45702</v>
      </c>
      <c r="F147" s="144" t="s">
        <v>16</v>
      </c>
      <c r="G147" s="146">
        <v>37459445.329999998</v>
      </c>
      <c r="H147" s="167">
        <v>5</v>
      </c>
      <c r="I147" s="172"/>
    </row>
    <row r="148" spans="1:9" s="8" customFormat="1" ht="45" customHeight="1" x14ac:dyDescent="0.25">
      <c r="A148" s="100"/>
      <c r="B148" s="176" t="s">
        <v>111</v>
      </c>
      <c r="C148" s="137" t="s">
        <v>513</v>
      </c>
      <c r="D148" s="144">
        <v>43511</v>
      </c>
      <c r="E148" s="144">
        <v>45702</v>
      </c>
      <c r="F148" s="144" t="s">
        <v>16</v>
      </c>
      <c r="G148" s="146">
        <v>40953267.450000003</v>
      </c>
      <c r="H148" s="167">
        <v>5</v>
      </c>
      <c r="I148" s="172"/>
    </row>
    <row r="149" spans="1:9" s="8" customFormat="1" ht="45" customHeight="1" x14ac:dyDescent="0.25">
      <c r="A149" s="99"/>
      <c r="B149" s="176" t="s">
        <v>112</v>
      </c>
      <c r="C149" s="137" t="s">
        <v>514</v>
      </c>
      <c r="D149" s="144">
        <v>43511</v>
      </c>
      <c r="E149" s="144">
        <v>45702</v>
      </c>
      <c r="F149" s="144" t="s">
        <v>16</v>
      </c>
      <c r="G149" s="146">
        <v>1181712.93</v>
      </c>
      <c r="H149" s="167">
        <v>5</v>
      </c>
      <c r="I149" s="172"/>
    </row>
    <row r="150" spans="1:9" s="12" customFormat="1" ht="45" customHeight="1" x14ac:dyDescent="0.25">
      <c r="A150" s="100"/>
      <c r="B150" s="176" t="s">
        <v>113</v>
      </c>
      <c r="C150" s="181" t="s">
        <v>169</v>
      </c>
      <c r="D150" s="144">
        <v>43511</v>
      </c>
      <c r="E150" s="144">
        <v>45702</v>
      </c>
      <c r="F150" s="144" t="s">
        <v>16</v>
      </c>
      <c r="G150" s="146">
        <v>274883.67</v>
      </c>
      <c r="H150" s="167">
        <v>5</v>
      </c>
      <c r="I150" s="263"/>
    </row>
    <row r="151" spans="1:9" s="8" customFormat="1" ht="45" customHeight="1" x14ac:dyDescent="0.25">
      <c r="A151" s="99"/>
      <c r="B151" s="176" t="s">
        <v>114</v>
      </c>
      <c r="C151" s="181" t="s">
        <v>170</v>
      </c>
      <c r="D151" s="144">
        <v>43511</v>
      </c>
      <c r="E151" s="144">
        <v>45702</v>
      </c>
      <c r="F151" s="144" t="s">
        <v>16</v>
      </c>
      <c r="G151" s="146">
        <v>130690.62</v>
      </c>
      <c r="H151" s="167">
        <v>5</v>
      </c>
      <c r="I151" s="172"/>
    </row>
    <row r="152" spans="1:9" s="12" customFormat="1" ht="45" customHeight="1" x14ac:dyDescent="0.25">
      <c r="A152" s="99"/>
      <c r="B152" s="176" t="s">
        <v>382</v>
      </c>
      <c r="C152" s="137" t="s">
        <v>23</v>
      </c>
      <c r="D152" s="144">
        <v>45176</v>
      </c>
      <c r="E152" s="144">
        <v>45716</v>
      </c>
      <c r="F152" s="144" t="s">
        <v>380</v>
      </c>
      <c r="G152" s="146">
        <v>9190881.6999999993</v>
      </c>
      <c r="H152" s="167">
        <v>2.25</v>
      </c>
      <c r="I152" s="263"/>
    </row>
    <row r="153" spans="1:9" s="12" customFormat="1" ht="45" customHeight="1" x14ac:dyDescent="0.25">
      <c r="A153" s="99"/>
      <c r="B153" s="180" t="s">
        <v>314</v>
      </c>
      <c r="C153" s="184" t="s">
        <v>162</v>
      </c>
      <c r="D153" s="145">
        <v>45072</v>
      </c>
      <c r="E153" s="145">
        <v>45716</v>
      </c>
      <c r="F153" s="144" t="s">
        <v>316</v>
      </c>
      <c r="G153" s="146">
        <v>3006958.15</v>
      </c>
      <c r="H153" s="167">
        <v>2.25</v>
      </c>
      <c r="I153" s="263" t="s">
        <v>449</v>
      </c>
    </row>
    <row r="154" spans="1:9" s="12" customFormat="1" ht="45" customHeight="1" x14ac:dyDescent="0.25">
      <c r="A154" s="99"/>
      <c r="B154" s="180" t="s">
        <v>319</v>
      </c>
      <c r="C154" s="184" t="s">
        <v>162</v>
      </c>
      <c r="D154" s="145">
        <v>45077</v>
      </c>
      <c r="E154" s="145">
        <v>45716</v>
      </c>
      <c r="F154" s="144" t="s">
        <v>320</v>
      </c>
      <c r="G154" s="146">
        <v>31032589.18</v>
      </c>
      <c r="H154" s="167">
        <v>2.25</v>
      </c>
      <c r="I154" s="263" t="s">
        <v>387</v>
      </c>
    </row>
    <row r="155" spans="1:9" s="12" customFormat="1" ht="45" customHeight="1" x14ac:dyDescent="0.25">
      <c r="A155" s="99"/>
      <c r="B155" s="180" t="s">
        <v>345</v>
      </c>
      <c r="C155" s="137" t="s">
        <v>23</v>
      </c>
      <c r="D155" s="145">
        <v>45134</v>
      </c>
      <c r="E155" s="145">
        <v>45716</v>
      </c>
      <c r="F155" s="144" t="s">
        <v>343</v>
      </c>
      <c r="G155" s="146">
        <v>3358877.91</v>
      </c>
      <c r="H155" s="167">
        <v>2.25</v>
      </c>
      <c r="I155" s="172" t="s">
        <v>122</v>
      </c>
    </row>
    <row r="156" spans="1:9" s="8" customFormat="1" ht="45" customHeight="1" x14ac:dyDescent="0.25">
      <c r="A156" s="183"/>
      <c r="B156" s="180" t="s">
        <v>351</v>
      </c>
      <c r="C156" s="137" t="s">
        <v>23</v>
      </c>
      <c r="D156" s="145">
        <v>45114</v>
      </c>
      <c r="E156" s="145">
        <v>45716</v>
      </c>
      <c r="F156" s="144" t="s">
        <v>352</v>
      </c>
      <c r="G156" s="146">
        <v>2956901.27</v>
      </c>
      <c r="H156" s="167">
        <v>2.25</v>
      </c>
      <c r="I156" s="172"/>
    </row>
    <row r="157" spans="1:9" s="8" customFormat="1" ht="45" customHeight="1" x14ac:dyDescent="0.25">
      <c r="A157" s="183"/>
      <c r="B157" s="180">
        <v>25060010995</v>
      </c>
      <c r="C157" s="137" t="s">
        <v>23</v>
      </c>
      <c r="D157" s="145">
        <v>45142</v>
      </c>
      <c r="E157" s="145">
        <v>45716</v>
      </c>
      <c r="F157" s="144" t="s">
        <v>365</v>
      </c>
      <c r="G157" s="146">
        <v>2640234.83</v>
      </c>
      <c r="H157" s="167">
        <v>2.25</v>
      </c>
      <c r="I157" s="172" t="s">
        <v>346</v>
      </c>
    </row>
    <row r="158" spans="1:9" s="8" customFormat="1" ht="45" customHeight="1" x14ac:dyDescent="0.25">
      <c r="A158" s="183"/>
      <c r="B158" s="180" t="s">
        <v>370</v>
      </c>
      <c r="C158" s="137" t="s">
        <v>23</v>
      </c>
      <c r="D158" s="145">
        <v>45146</v>
      </c>
      <c r="E158" s="145">
        <v>45716</v>
      </c>
      <c r="F158" s="144" t="s">
        <v>368</v>
      </c>
      <c r="G158" s="146">
        <v>8249751.71</v>
      </c>
      <c r="H158" s="167">
        <v>2.25</v>
      </c>
      <c r="I158" s="172" t="s">
        <v>353</v>
      </c>
    </row>
    <row r="159" spans="1:9" s="8" customFormat="1" ht="45" customHeight="1" x14ac:dyDescent="0.25">
      <c r="A159" s="183"/>
      <c r="B159" s="180" t="s">
        <v>372</v>
      </c>
      <c r="C159" s="137" t="s">
        <v>23</v>
      </c>
      <c r="D159" s="145">
        <v>45168</v>
      </c>
      <c r="E159" s="145">
        <v>45716</v>
      </c>
      <c r="F159" s="144" t="s">
        <v>373</v>
      </c>
      <c r="G159" s="146">
        <v>474583.61</v>
      </c>
      <c r="H159" s="167">
        <v>2.25</v>
      </c>
      <c r="I159" s="370" t="s">
        <v>366</v>
      </c>
    </row>
    <row r="160" spans="1:9" s="8" customFormat="1" ht="45" customHeight="1" x14ac:dyDescent="0.25">
      <c r="A160" s="183"/>
      <c r="B160" s="176" t="s">
        <v>335</v>
      </c>
      <c r="C160" s="137" t="s">
        <v>23</v>
      </c>
      <c r="D160" s="145">
        <v>45100</v>
      </c>
      <c r="E160" s="145">
        <v>45716</v>
      </c>
      <c r="F160" s="144" t="s">
        <v>336</v>
      </c>
      <c r="G160" s="146">
        <v>7842654.0999999996</v>
      </c>
      <c r="H160" s="167">
        <v>2.25</v>
      </c>
      <c r="I160" s="370" t="s">
        <v>371</v>
      </c>
    </row>
    <row r="161" spans="1:11" s="8" customFormat="1" ht="45" customHeight="1" x14ac:dyDescent="0.25">
      <c r="A161" s="183"/>
      <c r="B161" s="176" t="s">
        <v>439</v>
      </c>
      <c r="C161" s="137" t="s">
        <v>23</v>
      </c>
      <c r="D161" s="145">
        <v>45211</v>
      </c>
      <c r="E161" s="145">
        <v>45716</v>
      </c>
      <c r="F161" s="144" t="s">
        <v>400</v>
      </c>
      <c r="G161" s="146">
        <v>4029035.61</v>
      </c>
      <c r="H161" s="167">
        <v>2.25</v>
      </c>
      <c r="I161" s="370" t="s">
        <v>374</v>
      </c>
    </row>
    <row r="162" spans="1:11" s="8" customFormat="1" ht="45" customHeight="1" x14ac:dyDescent="0.25">
      <c r="A162" s="99"/>
      <c r="B162" s="176" t="s">
        <v>448</v>
      </c>
      <c r="C162" s="137" t="s">
        <v>23</v>
      </c>
      <c r="D162" s="145">
        <v>45397</v>
      </c>
      <c r="E162" s="145">
        <v>45762</v>
      </c>
      <c r="F162" s="144" t="s">
        <v>444</v>
      </c>
      <c r="G162" s="146">
        <v>7140148.7599999998</v>
      </c>
      <c r="H162" s="167">
        <v>5.875</v>
      </c>
      <c r="I162" s="172"/>
    </row>
    <row r="163" spans="1:11" s="8" customFormat="1" ht="45" customHeight="1" x14ac:dyDescent="0.25">
      <c r="A163" s="99"/>
      <c r="B163" s="176" t="s">
        <v>450</v>
      </c>
      <c r="C163" s="137" t="s">
        <v>23</v>
      </c>
      <c r="D163" s="144">
        <v>45397</v>
      </c>
      <c r="E163" s="144">
        <v>45768</v>
      </c>
      <c r="F163" s="144" t="s">
        <v>451</v>
      </c>
      <c r="G163" s="146">
        <v>34020000</v>
      </c>
      <c r="H163" s="167">
        <v>5.875</v>
      </c>
      <c r="I163" s="172" t="s">
        <v>440</v>
      </c>
    </row>
    <row r="164" spans="1:11" s="8" customFormat="1" ht="45" customHeight="1" x14ac:dyDescent="0.25">
      <c r="A164" s="99"/>
      <c r="B164" s="176" t="s">
        <v>337</v>
      </c>
      <c r="C164" s="137" t="s">
        <v>23</v>
      </c>
      <c r="D164" s="145">
        <v>45106</v>
      </c>
      <c r="E164" s="145">
        <v>45837</v>
      </c>
      <c r="F164" s="144" t="s">
        <v>333</v>
      </c>
      <c r="G164" s="146">
        <v>3016007.88</v>
      </c>
      <c r="H164" s="167">
        <v>2.25</v>
      </c>
      <c r="I164" s="172" t="s">
        <v>449</v>
      </c>
    </row>
    <row r="165" spans="1:11" s="8" customFormat="1" ht="45" customHeight="1" x14ac:dyDescent="0.25">
      <c r="A165" s="99"/>
      <c r="B165" s="432" t="s">
        <v>557</v>
      </c>
      <c r="C165" s="428" t="s">
        <v>466</v>
      </c>
      <c r="D165" s="421">
        <v>45496</v>
      </c>
      <c r="E165" s="421">
        <v>45861</v>
      </c>
      <c r="F165" s="378" t="s">
        <v>444</v>
      </c>
      <c r="G165" s="379">
        <v>891430.92</v>
      </c>
      <c r="H165" s="430">
        <v>5.75</v>
      </c>
      <c r="I165" s="172"/>
    </row>
    <row r="166" spans="1:11" s="8" customFormat="1" ht="45" customHeight="1" x14ac:dyDescent="0.25">
      <c r="A166" s="99"/>
      <c r="B166" s="432" t="s">
        <v>555</v>
      </c>
      <c r="C166" s="433" t="s">
        <v>496</v>
      </c>
      <c r="D166" s="421">
        <v>45496</v>
      </c>
      <c r="E166" s="421">
        <v>45861</v>
      </c>
      <c r="F166" s="378" t="s">
        <v>444</v>
      </c>
      <c r="G166" s="379">
        <v>37468284.240000002</v>
      </c>
      <c r="H166" s="430">
        <v>5.75</v>
      </c>
      <c r="I166" s="172" t="s">
        <v>549</v>
      </c>
    </row>
    <row r="167" spans="1:11" s="8" customFormat="1" ht="45" customHeight="1" x14ac:dyDescent="0.25">
      <c r="A167" s="99"/>
      <c r="B167" s="432" t="s">
        <v>553</v>
      </c>
      <c r="C167" s="433" t="s">
        <v>554</v>
      </c>
      <c r="D167" s="421">
        <v>45496</v>
      </c>
      <c r="E167" s="421">
        <v>45861</v>
      </c>
      <c r="F167" s="378" t="s">
        <v>444</v>
      </c>
      <c r="G167" s="379">
        <v>11640284.84</v>
      </c>
      <c r="H167" s="430">
        <v>5.75</v>
      </c>
      <c r="I167" s="172" t="s">
        <v>549</v>
      </c>
    </row>
    <row r="168" spans="1:11" s="8" customFormat="1" ht="45" customHeight="1" x14ac:dyDescent="0.25">
      <c r="A168" s="99"/>
      <c r="B168" s="176" t="s">
        <v>172</v>
      </c>
      <c r="C168" s="137" t="s">
        <v>496</v>
      </c>
      <c r="D168" s="145">
        <v>44834</v>
      </c>
      <c r="E168" s="145">
        <v>45930</v>
      </c>
      <c r="F168" s="144" t="s">
        <v>9</v>
      </c>
      <c r="G168" s="146">
        <v>2087017</v>
      </c>
      <c r="H168" s="167">
        <v>3.75</v>
      </c>
      <c r="I168" s="172"/>
    </row>
    <row r="169" spans="1:11" s="8" customFormat="1" ht="45" customHeight="1" x14ac:dyDescent="0.25">
      <c r="A169" s="99"/>
      <c r="B169" s="206" t="s">
        <v>94</v>
      </c>
      <c r="C169" s="181" t="s">
        <v>83</v>
      </c>
      <c r="D169" s="145">
        <v>43403</v>
      </c>
      <c r="E169" s="145">
        <v>45960</v>
      </c>
      <c r="F169" s="144" t="s">
        <v>5</v>
      </c>
      <c r="G169" s="146">
        <v>11728550.33</v>
      </c>
      <c r="H169" s="167">
        <v>5</v>
      </c>
      <c r="I169" s="172"/>
    </row>
    <row r="170" spans="1:11" s="8" customFormat="1" ht="45" customHeight="1" x14ac:dyDescent="0.25">
      <c r="A170" s="99"/>
      <c r="B170" s="176" t="s">
        <v>95</v>
      </c>
      <c r="C170" s="137" t="s">
        <v>392</v>
      </c>
      <c r="D170" s="145">
        <v>43403</v>
      </c>
      <c r="E170" s="145">
        <v>45960</v>
      </c>
      <c r="F170" s="144" t="s">
        <v>5</v>
      </c>
      <c r="G170" s="146">
        <v>33443142.440000001</v>
      </c>
      <c r="H170" s="167">
        <v>5</v>
      </c>
      <c r="I170" s="172">
        <f>SUM(G6+'RESUMEN '!F9)</f>
        <v>14343899426</v>
      </c>
    </row>
    <row r="171" spans="1:11" s="8" customFormat="1" ht="45" customHeight="1" x14ac:dyDescent="0.25">
      <c r="A171" s="183"/>
      <c r="B171" s="176" t="s">
        <v>96</v>
      </c>
      <c r="C171" s="181" t="s">
        <v>507</v>
      </c>
      <c r="D171" s="145">
        <v>43403</v>
      </c>
      <c r="E171" s="145">
        <v>45960</v>
      </c>
      <c r="F171" s="144" t="s">
        <v>5</v>
      </c>
      <c r="G171" s="146">
        <v>4617859.83</v>
      </c>
      <c r="H171" s="167">
        <v>5</v>
      </c>
      <c r="I171" s="172" t="s">
        <v>174</v>
      </c>
      <c r="J171" s="172"/>
      <c r="K171" s="172"/>
    </row>
    <row r="172" spans="1:11" s="8" customFormat="1" ht="45" customHeight="1" x14ac:dyDescent="0.25">
      <c r="A172" s="99"/>
      <c r="B172" s="176" t="s">
        <v>97</v>
      </c>
      <c r="C172" s="181" t="s">
        <v>510</v>
      </c>
      <c r="D172" s="145">
        <v>43403</v>
      </c>
      <c r="E172" s="145">
        <v>45960</v>
      </c>
      <c r="F172" s="144" t="s">
        <v>5</v>
      </c>
      <c r="G172" s="146">
        <v>210447.4</v>
      </c>
      <c r="H172" s="167">
        <v>5</v>
      </c>
      <c r="I172" s="172"/>
    </row>
    <row r="173" spans="1:11" s="8" customFormat="1" ht="45" customHeight="1" x14ac:dyDescent="0.25">
      <c r="A173" s="183"/>
      <c r="B173" s="206" t="s">
        <v>99</v>
      </c>
      <c r="C173" s="137" t="s">
        <v>391</v>
      </c>
      <c r="D173" s="145">
        <v>43434</v>
      </c>
      <c r="E173" s="145">
        <v>45988</v>
      </c>
      <c r="F173" s="144" t="s">
        <v>5</v>
      </c>
      <c r="G173" s="146">
        <v>12660000</v>
      </c>
      <c r="H173" s="167">
        <v>5.125</v>
      </c>
      <c r="I173" s="172"/>
    </row>
    <row r="174" spans="1:11" s="8" customFormat="1" ht="45" customHeight="1" x14ac:dyDescent="0.25">
      <c r="A174" s="99"/>
      <c r="B174" s="206" t="s">
        <v>100</v>
      </c>
      <c r="C174" s="137" t="s">
        <v>392</v>
      </c>
      <c r="D174" s="145">
        <v>43434</v>
      </c>
      <c r="E174" s="145">
        <v>45988</v>
      </c>
      <c r="F174" s="144" t="s">
        <v>5</v>
      </c>
      <c r="G174" s="146">
        <v>35450000</v>
      </c>
      <c r="H174" s="167">
        <v>5.125</v>
      </c>
      <c r="I174" s="172"/>
    </row>
    <row r="175" spans="1:11" s="8" customFormat="1" ht="45" customHeight="1" x14ac:dyDescent="0.25">
      <c r="A175" s="99"/>
      <c r="B175" s="206" t="s">
        <v>101</v>
      </c>
      <c r="C175" s="181" t="s">
        <v>507</v>
      </c>
      <c r="D175" s="145">
        <v>43434</v>
      </c>
      <c r="E175" s="145">
        <v>45988</v>
      </c>
      <c r="F175" s="144" t="s">
        <v>5</v>
      </c>
      <c r="G175" s="146">
        <v>1760000</v>
      </c>
      <c r="H175" s="167">
        <v>5.125</v>
      </c>
      <c r="I175" s="172"/>
    </row>
    <row r="176" spans="1:11" s="8" customFormat="1" ht="45" customHeight="1" x14ac:dyDescent="0.25">
      <c r="A176" s="99" t="s">
        <v>117</v>
      </c>
      <c r="B176" s="206" t="s">
        <v>102</v>
      </c>
      <c r="C176" s="181" t="s">
        <v>510</v>
      </c>
      <c r="D176" s="145">
        <v>43434</v>
      </c>
      <c r="E176" s="145">
        <v>45988</v>
      </c>
      <c r="F176" s="144" t="s">
        <v>5</v>
      </c>
      <c r="G176" s="146">
        <v>130000</v>
      </c>
      <c r="H176" s="167">
        <v>5.125</v>
      </c>
      <c r="I176" s="172"/>
    </row>
    <row r="177" spans="1:9" s="8" customFormat="1" ht="45" customHeight="1" x14ac:dyDescent="0.25">
      <c r="A177" s="183"/>
      <c r="B177" s="206" t="s">
        <v>123</v>
      </c>
      <c r="C177" s="137" t="s">
        <v>125</v>
      </c>
      <c r="D177" s="145">
        <v>43815</v>
      </c>
      <c r="E177" s="145">
        <v>46006</v>
      </c>
      <c r="F177" s="144" t="s">
        <v>16</v>
      </c>
      <c r="G177" s="146">
        <v>25000000</v>
      </c>
      <c r="H177" s="167">
        <v>4.125</v>
      </c>
      <c r="I177" s="172"/>
    </row>
    <row r="178" spans="1:9" s="8" customFormat="1" ht="45" customHeight="1" x14ac:dyDescent="0.25">
      <c r="A178" s="99"/>
      <c r="B178" s="176" t="s">
        <v>103</v>
      </c>
      <c r="C178" s="137" t="s">
        <v>391</v>
      </c>
      <c r="D178" s="145">
        <v>43452</v>
      </c>
      <c r="E178" s="145">
        <v>46007</v>
      </c>
      <c r="F178" s="144" t="s">
        <v>5</v>
      </c>
      <c r="G178" s="146">
        <v>8065285.2000000002</v>
      </c>
      <c r="H178" s="167">
        <v>5.125</v>
      </c>
      <c r="I178" s="172"/>
    </row>
    <row r="179" spans="1:9" s="8" customFormat="1" ht="45" customHeight="1" x14ac:dyDescent="0.25">
      <c r="A179" s="99"/>
      <c r="B179" s="176" t="s">
        <v>105</v>
      </c>
      <c r="C179" s="137" t="s">
        <v>392</v>
      </c>
      <c r="D179" s="145">
        <v>43452</v>
      </c>
      <c r="E179" s="145">
        <v>46007</v>
      </c>
      <c r="F179" s="144" t="s">
        <v>5</v>
      </c>
      <c r="G179" s="146">
        <v>12389162.4</v>
      </c>
      <c r="H179" s="167">
        <v>5.125</v>
      </c>
      <c r="I179" s="172"/>
    </row>
    <row r="180" spans="1:9" s="8" customFormat="1" ht="45" customHeight="1" x14ac:dyDescent="0.25">
      <c r="A180" s="99"/>
      <c r="B180" s="176" t="s">
        <v>106</v>
      </c>
      <c r="C180" s="181" t="s">
        <v>507</v>
      </c>
      <c r="D180" s="145">
        <v>43452</v>
      </c>
      <c r="E180" s="145">
        <v>46007</v>
      </c>
      <c r="F180" s="144" t="s">
        <v>5</v>
      </c>
      <c r="G180" s="146">
        <v>748281.6</v>
      </c>
      <c r="H180" s="167">
        <v>5.125</v>
      </c>
      <c r="I180" s="172" t="s">
        <v>120</v>
      </c>
    </row>
    <row r="181" spans="1:9" s="8" customFormat="1" ht="45" customHeight="1" x14ac:dyDescent="0.25">
      <c r="A181" s="99"/>
      <c r="B181" s="176" t="s">
        <v>107</v>
      </c>
      <c r="C181" s="181" t="s">
        <v>510</v>
      </c>
      <c r="D181" s="145">
        <v>43452</v>
      </c>
      <c r="E181" s="145">
        <v>46007</v>
      </c>
      <c r="F181" s="144" t="s">
        <v>5</v>
      </c>
      <c r="G181" s="146">
        <v>55270.8</v>
      </c>
      <c r="H181" s="167">
        <v>5.125</v>
      </c>
      <c r="I181" s="172"/>
    </row>
    <row r="182" spans="1:9" s="8" customFormat="1" ht="45" customHeight="1" x14ac:dyDescent="0.25">
      <c r="A182" s="99"/>
      <c r="B182" s="176" t="s">
        <v>452</v>
      </c>
      <c r="C182" s="137" t="s">
        <v>23</v>
      </c>
      <c r="D182" s="145">
        <v>45397</v>
      </c>
      <c r="E182" s="145">
        <v>46073</v>
      </c>
      <c r="F182" s="144" t="s">
        <v>453</v>
      </c>
      <c r="G182" s="146">
        <v>34020000</v>
      </c>
      <c r="H182" s="167">
        <v>6</v>
      </c>
      <c r="I182" s="172"/>
    </row>
    <row r="183" spans="1:9" s="8" customFormat="1" ht="45" customHeight="1" x14ac:dyDescent="0.25">
      <c r="A183" s="99"/>
      <c r="B183" s="176" t="s">
        <v>384</v>
      </c>
      <c r="C183" s="137" t="s">
        <v>23</v>
      </c>
      <c r="D183" s="144">
        <v>45189</v>
      </c>
      <c r="E183" s="145">
        <v>46080</v>
      </c>
      <c r="F183" s="144" t="s">
        <v>9</v>
      </c>
      <c r="G183" s="146">
        <v>2067302.26</v>
      </c>
      <c r="H183" s="167">
        <v>2.25</v>
      </c>
      <c r="I183" s="172" t="s">
        <v>449</v>
      </c>
    </row>
    <row r="184" spans="1:9" s="8" customFormat="1" ht="45" customHeight="1" x14ac:dyDescent="0.25">
      <c r="A184" s="99"/>
      <c r="B184" s="176" t="s">
        <v>410</v>
      </c>
      <c r="C184" s="137" t="s">
        <v>23</v>
      </c>
      <c r="D184" s="144">
        <v>45231</v>
      </c>
      <c r="E184" s="145">
        <v>46080</v>
      </c>
      <c r="F184" s="144" t="s">
        <v>407</v>
      </c>
      <c r="G184" s="146">
        <v>4960175.99</v>
      </c>
      <c r="H184" s="167">
        <v>2.25</v>
      </c>
      <c r="I184" s="172" t="s">
        <v>389</v>
      </c>
    </row>
    <row r="185" spans="1:9" s="8" customFormat="1" ht="45" customHeight="1" x14ac:dyDescent="0.25">
      <c r="A185" s="99"/>
      <c r="B185" s="176" t="s">
        <v>411</v>
      </c>
      <c r="C185" s="137" t="s">
        <v>23</v>
      </c>
      <c r="D185" s="144">
        <v>45257</v>
      </c>
      <c r="E185" s="145">
        <v>46080</v>
      </c>
      <c r="F185" s="144" t="s">
        <v>404</v>
      </c>
      <c r="G185" s="146">
        <v>2641259.83</v>
      </c>
      <c r="H185" s="167">
        <v>2.25</v>
      </c>
      <c r="I185" s="172" t="s">
        <v>408</v>
      </c>
    </row>
    <row r="186" spans="1:9" s="8" customFormat="1" ht="45" customHeight="1" x14ac:dyDescent="0.25">
      <c r="A186" s="99"/>
      <c r="B186" s="176" t="s">
        <v>423</v>
      </c>
      <c r="C186" s="137" t="s">
        <v>23</v>
      </c>
      <c r="D186" s="144">
        <v>45265</v>
      </c>
      <c r="E186" s="145">
        <v>46080</v>
      </c>
      <c r="F186" s="144" t="s">
        <v>424</v>
      </c>
      <c r="G186" s="146">
        <v>3051266.24</v>
      </c>
      <c r="H186" s="167">
        <v>2.25</v>
      </c>
      <c r="I186" s="172" t="s">
        <v>406</v>
      </c>
    </row>
    <row r="187" spans="1:9" s="8" customFormat="1" ht="45" customHeight="1" x14ac:dyDescent="0.25">
      <c r="A187" s="99"/>
      <c r="B187" s="176" t="s">
        <v>413</v>
      </c>
      <c r="C187" s="137" t="s">
        <v>23</v>
      </c>
      <c r="D187" s="144">
        <v>45274</v>
      </c>
      <c r="E187" s="145">
        <v>46080</v>
      </c>
      <c r="F187" s="144" t="s">
        <v>414</v>
      </c>
      <c r="G187" s="146">
        <v>7294832.2599999998</v>
      </c>
      <c r="H187" s="167">
        <v>2.25</v>
      </c>
      <c r="I187" s="172" t="s">
        <v>425</v>
      </c>
    </row>
    <row r="188" spans="1:9" s="8" customFormat="1" ht="45" customHeight="1" x14ac:dyDescent="0.25">
      <c r="A188" s="99"/>
      <c r="B188" s="176" t="s">
        <v>419</v>
      </c>
      <c r="C188" s="137" t="s">
        <v>23</v>
      </c>
      <c r="D188" s="144">
        <v>45266</v>
      </c>
      <c r="E188" s="145">
        <v>46080</v>
      </c>
      <c r="F188" s="144" t="s">
        <v>417</v>
      </c>
      <c r="G188" s="146">
        <v>2476736.08</v>
      </c>
      <c r="H188" s="167">
        <v>2.25</v>
      </c>
      <c r="I188" s="172" t="s">
        <v>415</v>
      </c>
    </row>
    <row r="189" spans="1:9" s="8" customFormat="1" ht="45" customHeight="1" x14ac:dyDescent="0.25">
      <c r="A189" s="99"/>
      <c r="B189" s="176" t="s">
        <v>429</v>
      </c>
      <c r="C189" s="137" t="s">
        <v>23</v>
      </c>
      <c r="D189" s="144">
        <v>45294</v>
      </c>
      <c r="E189" s="145">
        <v>46080</v>
      </c>
      <c r="F189" s="144" t="s">
        <v>427</v>
      </c>
      <c r="G189" s="146">
        <v>751970.9</v>
      </c>
      <c r="H189" s="167">
        <v>2.25</v>
      </c>
      <c r="I189" s="172" t="s">
        <v>420</v>
      </c>
    </row>
    <row r="190" spans="1:9" s="8" customFormat="1" ht="45" customHeight="1" x14ac:dyDescent="0.25">
      <c r="A190" s="99"/>
      <c r="B190" s="176" t="s">
        <v>433</v>
      </c>
      <c r="C190" s="137" t="s">
        <v>23</v>
      </c>
      <c r="D190" s="144">
        <v>45345</v>
      </c>
      <c r="E190" s="145">
        <v>46080</v>
      </c>
      <c r="F190" s="144" t="s">
        <v>434</v>
      </c>
      <c r="G190" s="146">
        <v>2909115.48</v>
      </c>
      <c r="H190" s="167">
        <v>2.25</v>
      </c>
      <c r="I190" s="172" t="s">
        <v>430</v>
      </c>
    </row>
    <row r="191" spans="1:9" s="8" customFormat="1" ht="45" customHeight="1" x14ac:dyDescent="0.25">
      <c r="A191" s="99"/>
      <c r="B191" s="176" t="s">
        <v>436</v>
      </c>
      <c r="C191" s="137" t="s">
        <v>23</v>
      </c>
      <c r="D191" s="144">
        <v>45379</v>
      </c>
      <c r="E191" s="145">
        <v>46080</v>
      </c>
      <c r="F191" s="144" t="s">
        <v>437</v>
      </c>
      <c r="G191" s="146">
        <v>1420156.11</v>
      </c>
      <c r="H191" s="167">
        <v>2.25</v>
      </c>
      <c r="I191" s="172" t="s">
        <v>435</v>
      </c>
    </row>
    <row r="192" spans="1:9" s="8" customFormat="1" ht="45" customHeight="1" x14ac:dyDescent="0.25">
      <c r="A192" s="99"/>
      <c r="B192" s="176" t="s">
        <v>446</v>
      </c>
      <c r="C192" s="137" t="s">
        <v>23</v>
      </c>
      <c r="D192" s="144">
        <v>45408</v>
      </c>
      <c r="E192" s="145">
        <v>46080</v>
      </c>
      <c r="F192" s="144" t="s">
        <v>447</v>
      </c>
      <c r="G192" s="146">
        <v>4200251.16</v>
      </c>
      <c r="H192" s="167">
        <v>2.25</v>
      </c>
      <c r="I192" s="172" t="s">
        <v>438</v>
      </c>
    </row>
    <row r="193" spans="1:9" s="8" customFormat="1" ht="45" customHeight="1" x14ac:dyDescent="0.25">
      <c r="A193" s="99"/>
      <c r="B193" s="176" t="s">
        <v>471</v>
      </c>
      <c r="C193" s="137" t="s">
        <v>23</v>
      </c>
      <c r="D193" s="144">
        <v>45401</v>
      </c>
      <c r="E193" s="145">
        <v>46080</v>
      </c>
      <c r="F193" s="144" t="s">
        <v>469</v>
      </c>
      <c r="G193" s="146">
        <v>1878286.92</v>
      </c>
      <c r="H193" s="167">
        <v>2.25</v>
      </c>
      <c r="I193" s="172" t="s">
        <v>472</v>
      </c>
    </row>
    <row r="194" spans="1:9" s="8" customFormat="1" ht="45" customHeight="1" x14ac:dyDescent="0.25">
      <c r="A194" s="99"/>
      <c r="B194" s="176" t="s">
        <v>475</v>
      </c>
      <c r="C194" s="137" t="s">
        <v>23</v>
      </c>
      <c r="D194" s="144">
        <v>45463</v>
      </c>
      <c r="E194" s="145">
        <v>46080</v>
      </c>
      <c r="F194" s="144" t="s">
        <v>473</v>
      </c>
      <c r="G194" s="146">
        <v>1053348.52</v>
      </c>
      <c r="H194" s="167">
        <v>2.25</v>
      </c>
      <c r="I194" s="172" t="s">
        <v>474</v>
      </c>
    </row>
    <row r="195" spans="1:9" s="8" customFormat="1" ht="45" customHeight="1" x14ac:dyDescent="0.25">
      <c r="A195" s="99"/>
      <c r="B195" s="176" t="s">
        <v>476</v>
      </c>
      <c r="C195" s="137" t="s">
        <v>23</v>
      </c>
      <c r="D195" s="144">
        <v>45447</v>
      </c>
      <c r="E195" s="145">
        <v>46080</v>
      </c>
      <c r="F195" s="144" t="s">
        <v>477</v>
      </c>
      <c r="G195" s="146">
        <v>29199151.82</v>
      </c>
      <c r="H195" s="167">
        <v>2.2250000000000001</v>
      </c>
      <c r="I195" s="172" t="s">
        <v>478</v>
      </c>
    </row>
    <row r="196" spans="1:9" s="8" customFormat="1" ht="45" customHeight="1" x14ac:dyDescent="0.25">
      <c r="A196" s="99"/>
      <c r="B196" s="432" t="s">
        <v>562</v>
      </c>
      <c r="C196" s="433" t="s">
        <v>23</v>
      </c>
      <c r="D196" s="378">
        <v>45481</v>
      </c>
      <c r="E196" s="421">
        <v>46080</v>
      </c>
      <c r="F196" s="378" t="s">
        <v>560</v>
      </c>
      <c r="G196" s="379">
        <v>1299470.0900000001</v>
      </c>
      <c r="H196" s="430">
        <v>2.25</v>
      </c>
      <c r="I196" s="172" t="s">
        <v>563</v>
      </c>
    </row>
    <row r="197" spans="1:9" s="8" customFormat="1" ht="45" customHeight="1" x14ac:dyDescent="0.25">
      <c r="A197" s="99"/>
      <c r="B197" s="432" t="s">
        <v>577</v>
      </c>
      <c r="C197" s="433" t="s">
        <v>23</v>
      </c>
      <c r="D197" s="378">
        <v>45475</v>
      </c>
      <c r="E197" s="421">
        <v>46080</v>
      </c>
      <c r="F197" s="378" t="s">
        <v>575</v>
      </c>
      <c r="G197" s="379">
        <v>1779322.65</v>
      </c>
      <c r="H197" s="430">
        <v>2.25</v>
      </c>
      <c r="I197" s="172" t="s">
        <v>578</v>
      </c>
    </row>
    <row r="198" spans="1:9" s="8" customFormat="1" ht="45" customHeight="1" x14ac:dyDescent="0.25">
      <c r="A198" s="99"/>
      <c r="B198" s="176" t="s">
        <v>460</v>
      </c>
      <c r="C198" s="137" t="s">
        <v>124</v>
      </c>
      <c r="D198" s="144">
        <v>45397</v>
      </c>
      <c r="E198" s="145">
        <v>46127</v>
      </c>
      <c r="F198" s="144" t="s">
        <v>461</v>
      </c>
      <c r="G198" s="146">
        <v>50000000</v>
      </c>
      <c r="H198" s="167">
        <v>6.125</v>
      </c>
      <c r="I198" s="172" t="s">
        <v>445</v>
      </c>
    </row>
    <row r="199" spans="1:9" s="8" customFormat="1" ht="45" customHeight="1" x14ac:dyDescent="0.25">
      <c r="A199" s="99"/>
      <c r="B199" s="176" t="s">
        <v>132</v>
      </c>
      <c r="C199" s="137" t="s">
        <v>125</v>
      </c>
      <c r="D199" s="144">
        <v>44075</v>
      </c>
      <c r="E199" s="145">
        <v>46264</v>
      </c>
      <c r="F199" s="144" t="s">
        <v>16</v>
      </c>
      <c r="G199" s="146">
        <v>50000000</v>
      </c>
      <c r="H199" s="167">
        <v>3.5</v>
      </c>
      <c r="I199" s="172" t="s">
        <v>462</v>
      </c>
    </row>
    <row r="200" spans="1:9" s="8" customFormat="1" ht="45" customHeight="1" x14ac:dyDescent="0.25">
      <c r="A200" s="99"/>
      <c r="B200" s="176" t="s">
        <v>126</v>
      </c>
      <c r="C200" s="137" t="s">
        <v>515</v>
      </c>
      <c r="D200" s="145">
        <v>43815</v>
      </c>
      <c r="E200" s="145">
        <v>46370</v>
      </c>
      <c r="F200" s="144" t="s">
        <v>5</v>
      </c>
      <c r="G200" s="146">
        <v>25000000</v>
      </c>
      <c r="H200" s="167">
        <v>4.25</v>
      </c>
      <c r="I200" s="172"/>
    </row>
    <row r="201" spans="1:9" s="8" customFormat="1" ht="45" customHeight="1" x14ac:dyDescent="0.25">
      <c r="A201" s="99"/>
      <c r="B201" s="176" t="s">
        <v>137</v>
      </c>
      <c r="C201" s="137" t="s">
        <v>125</v>
      </c>
      <c r="D201" s="144">
        <v>44179</v>
      </c>
      <c r="E201" s="145">
        <v>46370</v>
      </c>
      <c r="F201" s="144" t="s">
        <v>16</v>
      </c>
      <c r="G201" s="146">
        <v>50000000</v>
      </c>
      <c r="H201" s="167">
        <v>3</v>
      </c>
      <c r="I201" s="172"/>
    </row>
    <row r="202" spans="1:9" s="8" customFormat="1" ht="45" customHeight="1" x14ac:dyDescent="0.25">
      <c r="A202" s="99"/>
      <c r="B202" s="176" t="s">
        <v>454</v>
      </c>
      <c r="C202" s="137" t="s">
        <v>23</v>
      </c>
      <c r="D202" s="144">
        <v>45397</v>
      </c>
      <c r="E202" s="145">
        <v>46440</v>
      </c>
      <c r="F202" s="144" t="s">
        <v>455</v>
      </c>
      <c r="G202" s="146">
        <v>34020000</v>
      </c>
      <c r="H202" s="167">
        <v>5.75</v>
      </c>
      <c r="I202" s="172"/>
    </row>
    <row r="203" spans="1:9" s="8" customFormat="1" ht="45" customHeight="1" x14ac:dyDescent="0.25">
      <c r="A203" s="99"/>
      <c r="B203" s="176" t="s">
        <v>463</v>
      </c>
      <c r="C203" s="137" t="s">
        <v>124</v>
      </c>
      <c r="D203" s="144">
        <v>45397</v>
      </c>
      <c r="E203" s="145">
        <v>46492</v>
      </c>
      <c r="F203" s="144" t="s">
        <v>464</v>
      </c>
      <c r="G203" s="146">
        <v>50000000</v>
      </c>
      <c r="H203" s="167">
        <v>6</v>
      </c>
      <c r="I203" s="172" t="s">
        <v>449</v>
      </c>
    </row>
    <row r="204" spans="1:9" s="8" customFormat="1" ht="45" customHeight="1" x14ac:dyDescent="0.25">
      <c r="A204" s="99"/>
      <c r="B204" s="176" t="s">
        <v>465</v>
      </c>
      <c r="C204" s="137" t="s">
        <v>125</v>
      </c>
      <c r="D204" s="144">
        <v>45397</v>
      </c>
      <c r="E204" s="145">
        <v>46492</v>
      </c>
      <c r="F204" s="144" t="s">
        <v>464</v>
      </c>
      <c r="G204" s="146">
        <v>100000000</v>
      </c>
      <c r="H204" s="167">
        <v>6</v>
      </c>
      <c r="I204" s="172" t="s">
        <v>462</v>
      </c>
    </row>
    <row r="205" spans="1:9" s="8" customFormat="1" ht="45" customHeight="1" x14ac:dyDescent="0.25">
      <c r="A205" s="99"/>
      <c r="B205" s="432" t="s">
        <v>574</v>
      </c>
      <c r="C205" s="433" t="s">
        <v>23</v>
      </c>
      <c r="D205" s="378">
        <v>45491</v>
      </c>
      <c r="E205" s="421">
        <v>46444</v>
      </c>
      <c r="F205" s="378" t="s">
        <v>519</v>
      </c>
      <c r="G205" s="379">
        <v>2322701.4900000002</v>
      </c>
      <c r="H205" s="430">
        <v>2.25</v>
      </c>
      <c r="I205" s="172" t="s">
        <v>520</v>
      </c>
    </row>
    <row r="206" spans="1:9" s="8" customFormat="1" ht="45" customHeight="1" x14ac:dyDescent="0.25">
      <c r="A206" s="99"/>
      <c r="B206" s="432" t="s">
        <v>566</v>
      </c>
      <c r="C206" s="433" t="s">
        <v>23</v>
      </c>
      <c r="D206" s="378">
        <v>45475</v>
      </c>
      <c r="E206" s="421">
        <v>46444</v>
      </c>
      <c r="F206" s="378" t="s">
        <v>564</v>
      </c>
      <c r="G206" s="379">
        <v>4001368.48</v>
      </c>
      <c r="H206" s="430">
        <v>2.25</v>
      </c>
      <c r="I206" s="172" t="s">
        <v>567</v>
      </c>
    </row>
    <row r="207" spans="1:9" s="8" customFormat="1" ht="45" customHeight="1" x14ac:dyDescent="0.25">
      <c r="A207" s="99"/>
      <c r="B207" s="432" t="s">
        <v>571</v>
      </c>
      <c r="C207" s="433" t="s">
        <v>23</v>
      </c>
      <c r="D207" s="378">
        <v>45481</v>
      </c>
      <c r="E207" s="421">
        <v>46444</v>
      </c>
      <c r="F207" s="378" t="s">
        <v>572</v>
      </c>
      <c r="G207" s="379">
        <v>7617852.96</v>
      </c>
      <c r="H207" s="430">
        <v>2.25</v>
      </c>
      <c r="I207" s="172" t="s">
        <v>573</v>
      </c>
    </row>
    <row r="208" spans="1:9" s="8" customFormat="1" ht="45" customHeight="1" x14ac:dyDescent="0.25">
      <c r="A208" s="99"/>
      <c r="B208" s="176" t="s">
        <v>133</v>
      </c>
      <c r="C208" s="137" t="s">
        <v>125</v>
      </c>
      <c r="D208" s="144">
        <v>44075</v>
      </c>
      <c r="E208" s="145">
        <v>46629</v>
      </c>
      <c r="F208" s="144" t="s">
        <v>5</v>
      </c>
      <c r="G208" s="146">
        <v>24876034.420000002</v>
      </c>
      <c r="H208" s="167">
        <v>3.53</v>
      </c>
      <c r="I208" s="172" t="s">
        <v>462</v>
      </c>
    </row>
    <row r="209" spans="1:9" s="8" customFormat="1" ht="45" customHeight="1" x14ac:dyDescent="0.25">
      <c r="A209" s="99"/>
      <c r="B209" s="176" t="s">
        <v>134</v>
      </c>
      <c r="C209" s="137" t="s">
        <v>124</v>
      </c>
      <c r="D209" s="144">
        <v>44075</v>
      </c>
      <c r="E209" s="145">
        <v>46629</v>
      </c>
      <c r="F209" s="144" t="s">
        <v>5</v>
      </c>
      <c r="G209" s="146">
        <v>123965.58</v>
      </c>
      <c r="H209" s="167">
        <v>3.53</v>
      </c>
      <c r="I209" s="172" t="s">
        <v>120</v>
      </c>
    </row>
    <row r="210" spans="1:9" s="8" customFormat="1" ht="45" customHeight="1" x14ac:dyDescent="0.25">
      <c r="A210" s="99"/>
      <c r="B210" s="176" t="s">
        <v>127</v>
      </c>
      <c r="C210" s="137" t="s">
        <v>124</v>
      </c>
      <c r="D210" s="145">
        <v>43815</v>
      </c>
      <c r="E210" s="145">
        <v>46735</v>
      </c>
      <c r="F210" s="144" t="s">
        <v>47</v>
      </c>
      <c r="G210" s="146">
        <v>25000000</v>
      </c>
      <c r="H210" s="167">
        <v>4.375</v>
      </c>
      <c r="I210" s="172"/>
    </row>
    <row r="211" spans="1:9" s="8" customFormat="1" ht="45" customHeight="1" x14ac:dyDescent="0.25">
      <c r="A211" s="99"/>
      <c r="B211" s="176" t="s">
        <v>456</v>
      </c>
      <c r="C211" s="137" t="s">
        <v>23</v>
      </c>
      <c r="D211" s="145">
        <v>45397</v>
      </c>
      <c r="E211" s="145">
        <v>46805</v>
      </c>
      <c r="F211" s="144" t="s">
        <v>457</v>
      </c>
      <c r="G211" s="146">
        <v>34020000</v>
      </c>
      <c r="H211" s="167">
        <v>5.75</v>
      </c>
      <c r="I211" s="172"/>
    </row>
    <row r="212" spans="1:9" s="8" customFormat="1" ht="45" customHeight="1" x14ac:dyDescent="0.25">
      <c r="A212" s="99"/>
      <c r="B212" s="432" t="s">
        <v>558</v>
      </c>
      <c r="C212" s="433" t="s">
        <v>125</v>
      </c>
      <c r="D212" s="421">
        <v>45496</v>
      </c>
      <c r="E212" s="421">
        <v>46956</v>
      </c>
      <c r="F212" s="378" t="s">
        <v>546</v>
      </c>
      <c r="G212" s="379">
        <v>17953013.399999999</v>
      </c>
      <c r="H212" s="430">
        <v>5.75</v>
      </c>
      <c r="I212" s="172" t="s">
        <v>549</v>
      </c>
    </row>
    <row r="213" spans="1:9" s="8" customFormat="1" ht="45" customHeight="1" x14ac:dyDescent="0.25">
      <c r="A213" s="99"/>
      <c r="B213" s="176" t="s">
        <v>220</v>
      </c>
      <c r="C213" s="137" t="s">
        <v>157</v>
      </c>
      <c r="D213" s="145">
        <v>44995</v>
      </c>
      <c r="E213" s="145">
        <v>46820</v>
      </c>
      <c r="F213" s="144" t="s">
        <v>6</v>
      </c>
      <c r="G213" s="146">
        <v>18090361.77</v>
      </c>
      <c r="H213" s="167">
        <v>5.15</v>
      </c>
      <c r="I213" s="172" t="s">
        <v>449</v>
      </c>
    </row>
    <row r="214" spans="1:9" s="8" customFormat="1" ht="45" customHeight="1" x14ac:dyDescent="0.25">
      <c r="A214" s="99"/>
      <c r="B214" s="432">
        <v>25060012537</v>
      </c>
      <c r="C214" s="433" t="s">
        <v>552</v>
      </c>
      <c r="D214" s="421">
        <v>45496</v>
      </c>
      <c r="E214" s="421">
        <v>46956</v>
      </c>
      <c r="F214" s="378" t="s">
        <v>546</v>
      </c>
      <c r="G214" s="379">
        <v>10597798.98</v>
      </c>
      <c r="H214" s="430">
        <v>5.75</v>
      </c>
      <c r="I214" s="172" t="s">
        <v>549</v>
      </c>
    </row>
    <row r="215" spans="1:9" s="8" customFormat="1" ht="45" customHeight="1" x14ac:dyDescent="0.25">
      <c r="A215" s="99"/>
      <c r="B215" s="432" t="s">
        <v>545</v>
      </c>
      <c r="C215" s="433" t="s">
        <v>124</v>
      </c>
      <c r="D215" s="421">
        <v>45496</v>
      </c>
      <c r="E215" s="421">
        <v>46956</v>
      </c>
      <c r="F215" s="378" t="s">
        <v>546</v>
      </c>
      <c r="G215" s="379">
        <v>96449187.620000005</v>
      </c>
      <c r="H215" s="430">
        <v>5.75</v>
      </c>
      <c r="I215" s="172" t="s">
        <v>544</v>
      </c>
    </row>
    <row r="216" spans="1:9" s="8" customFormat="1" ht="45" customHeight="1" x14ac:dyDescent="0.25">
      <c r="A216" s="99"/>
      <c r="B216" s="176" t="s">
        <v>163</v>
      </c>
      <c r="C216" s="137" t="s">
        <v>516</v>
      </c>
      <c r="D216" s="145">
        <v>44799</v>
      </c>
      <c r="E216" s="145">
        <v>46989</v>
      </c>
      <c r="F216" s="144" t="s">
        <v>16</v>
      </c>
      <c r="G216" s="146">
        <v>25000000</v>
      </c>
      <c r="H216" s="167">
        <v>4.125</v>
      </c>
      <c r="I216" s="172"/>
    </row>
    <row r="217" spans="1:9" s="8" customFormat="1" ht="45" customHeight="1" x14ac:dyDescent="0.25">
      <c r="A217" s="99"/>
      <c r="B217" s="176" t="s">
        <v>135</v>
      </c>
      <c r="C217" s="137" t="s">
        <v>124</v>
      </c>
      <c r="D217" s="144">
        <v>44075</v>
      </c>
      <c r="E217" s="145">
        <v>46995</v>
      </c>
      <c r="F217" s="144" t="s">
        <v>47</v>
      </c>
      <c r="G217" s="146">
        <v>50000000</v>
      </c>
      <c r="H217" s="167">
        <v>3.55</v>
      </c>
      <c r="I217" s="172" t="s">
        <v>120</v>
      </c>
    </row>
    <row r="218" spans="1:9" s="8" customFormat="1" ht="45" customHeight="1" x14ac:dyDescent="0.25">
      <c r="A218" s="99"/>
      <c r="B218" s="176" t="s">
        <v>458</v>
      </c>
      <c r="C218" s="137" t="s">
        <v>23</v>
      </c>
      <c r="D218" s="144">
        <v>45397</v>
      </c>
      <c r="E218" s="145">
        <v>47171</v>
      </c>
      <c r="F218" s="144" t="s">
        <v>459</v>
      </c>
      <c r="G218" s="146">
        <v>34173762</v>
      </c>
      <c r="H218" s="167">
        <v>5.625</v>
      </c>
      <c r="I218" s="172" t="s">
        <v>221</v>
      </c>
    </row>
    <row r="219" spans="1:9" s="8" customFormat="1" ht="45" customHeight="1" x14ac:dyDescent="0.25">
      <c r="A219" s="99"/>
      <c r="B219" s="176" t="s">
        <v>153</v>
      </c>
      <c r="C219" s="137" t="s">
        <v>124</v>
      </c>
      <c r="D219" s="144">
        <v>44676</v>
      </c>
      <c r="E219" s="145">
        <v>47231</v>
      </c>
      <c r="F219" s="144" t="s">
        <v>5</v>
      </c>
      <c r="G219" s="146">
        <v>30000000</v>
      </c>
      <c r="H219" s="167">
        <v>3.125</v>
      </c>
      <c r="I219" s="172" t="s">
        <v>449</v>
      </c>
    </row>
    <row r="220" spans="1:9" s="8" customFormat="1" ht="45" customHeight="1" x14ac:dyDescent="0.25">
      <c r="A220" s="99"/>
      <c r="B220" s="176" t="s">
        <v>160</v>
      </c>
      <c r="C220" s="137" t="s">
        <v>124</v>
      </c>
      <c r="D220" s="144">
        <v>44726</v>
      </c>
      <c r="E220" s="145">
        <v>47281</v>
      </c>
      <c r="F220" s="144" t="s">
        <v>5</v>
      </c>
      <c r="G220" s="146">
        <v>21000000</v>
      </c>
      <c r="H220" s="167">
        <v>3.95</v>
      </c>
      <c r="I220" s="172" t="s">
        <v>120</v>
      </c>
    </row>
    <row r="221" spans="1:9" s="139" customFormat="1" ht="45" customHeight="1" x14ac:dyDescent="0.25">
      <c r="A221" s="265"/>
      <c r="B221" s="176" t="s">
        <v>161</v>
      </c>
      <c r="C221" s="137" t="s">
        <v>125</v>
      </c>
      <c r="D221" s="144">
        <v>44726</v>
      </c>
      <c r="E221" s="145">
        <v>47281</v>
      </c>
      <c r="F221" s="144" t="s">
        <v>5</v>
      </c>
      <c r="G221" s="146">
        <v>29000000</v>
      </c>
      <c r="H221" s="167">
        <v>3.95</v>
      </c>
      <c r="I221" s="172" t="s">
        <v>164</v>
      </c>
    </row>
    <row r="222" spans="1:9" s="139" customFormat="1" ht="45" customHeight="1" x14ac:dyDescent="0.25">
      <c r="A222" s="265"/>
      <c r="B222" s="432" t="s">
        <v>547</v>
      </c>
      <c r="C222" s="433" t="s">
        <v>124</v>
      </c>
      <c r="D222" s="378">
        <v>45496</v>
      </c>
      <c r="E222" s="421">
        <v>47322</v>
      </c>
      <c r="F222" s="378" t="s">
        <v>548</v>
      </c>
      <c r="G222" s="379">
        <v>125000000</v>
      </c>
      <c r="H222" s="430">
        <v>5.8125</v>
      </c>
      <c r="I222" s="172" t="s">
        <v>549</v>
      </c>
    </row>
    <row r="223" spans="1:9" s="8" customFormat="1" ht="45" customHeight="1" x14ac:dyDescent="0.25">
      <c r="A223" s="99"/>
      <c r="B223" s="176" t="s">
        <v>165</v>
      </c>
      <c r="C223" s="137" t="s">
        <v>516</v>
      </c>
      <c r="D223" s="144">
        <v>44799</v>
      </c>
      <c r="E223" s="145">
        <v>47354</v>
      </c>
      <c r="F223" s="144" t="s">
        <v>5</v>
      </c>
      <c r="G223" s="146">
        <v>50000000</v>
      </c>
      <c r="H223" s="167">
        <v>4.25</v>
      </c>
      <c r="I223" s="172" t="s">
        <v>158</v>
      </c>
    </row>
    <row r="224" spans="1:9" s="8" customFormat="1" ht="45" customHeight="1" x14ac:dyDescent="0.25">
      <c r="A224" s="99"/>
      <c r="B224" s="176" t="s">
        <v>141</v>
      </c>
      <c r="C224" s="137" t="s">
        <v>124</v>
      </c>
      <c r="D224" s="145">
        <v>44260</v>
      </c>
      <c r="E224" s="145">
        <v>47547</v>
      </c>
      <c r="F224" s="144" t="s">
        <v>144</v>
      </c>
      <c r="G224" s="146">
        <v>25000000</v>
      </c>
      <c r="H224" s="167">
        <v>3</v>
      </c>
      <c r="I224" s="172"/>
    </row>
    <row r="225" spans="1:11" s="8" customFormat="1" ht="45" customHeight="1" x14ac:dyDescent="0.25">
      <c r="A225" s="99"/>
      <c r="B225" s="176" t="s">
        <v>215</v>
      </c>
      <c r="C225" s="137" t="s">
        <v>505</v>
      </c>
      <c r="D225" s="145" t="s">
        <v>217</v>
      </c>
      <c r="E225" s="145" t="s">
        <v>218</v>
      </c>
      <c r="F225" s="144" t="s">
        <v>5</v>
      </c>
      <c r="G225" s="146">
        <v>27385202.100000001</v>
      </c>
      <c r="H225" s="167">
        <v>5.3</v>
      </c>
      <c r="I225" s="172"/>
    </row>
    <row r="226" spans="1:11" s="8" customFormat="1" ht="45" customHeight="1" x14ac:dyDescent="0.25">
      <c r="A226" s="99"/>
      <c r="B226" s="176" t="s">
        <v>216</v>
      </c>
      <c r="C226" s="137" t="s">
        <v>504</v>
      </c>
      <c r="D226" s="145" t="s">
        <v>217</v>
      </c>
      <c r="E226" s="145" t="s">
        <v>218</v>
      </c>
      <c r="F226" s="144" t="s">
        <v>5</v>
      </c>
      <c r="G226" s="146">
        <v>4524436.13</v>
      </c>
      <c r="H226" s="167">
        <v>5.3</v>
      </c>
      <c r="I226" s="172" t="s">
        <v>326</v>
      </c>
    </row>
    <row r="227" spans="1:11" s="8" customFormat="1" ht="45" customHeight="1" x14ac:dyDescent="0.25">
      <c r="A227" s="99"/>
      <c r="B227" s="176" t="s">
        <v>154</v>
      </c>
      <c r="C227" s="137" t="s">
        <v>124</v>
      </c>
      <c r="D227" s="145">
        <v>44676</v>
      </c>
      <c r="E227" s="145">
        <v>47596</v>
      </c>
      <c r="F227" s="144" t="s">
        <v>47</v>
      </c>
      <c r="G227" s="146">
        <v>20000000</v>
      </c>
      <c r="H227" s="167">
        <v>3.25</v>
      </c>
      <c r="I227" s="172" t="s">
        <v>326</v>
      </c>
    </row>
    <row r="228" spans="1:11" s="8" customFormat="1" ht="45" customHeight="1" x14ac:dyDescent="0.25">
      <c r="A228" s="99"/>
      <c r="B228" s="432" t="s">
        <v>542</v>
      </c>
      <c r="C228" s="433" t="s">
        <v>125</v>
      </c>
      <c r="D228" s="421">
        <v>45496</v>
      </c>
      <c r="E228" s="421">
        <v>47686</v>
      </c>
      <c r="F228" s="378" t="s">
        <v>543</v>
      </c>
      <c r="G228" s="379">
        <v>150000000</v>
      </c>
      <c r="H228" s="430">
        <v>5.875</v>
      </c>
      <c r="I228" s="172" t="s">
        <v>544</v>
      </c>
    </row>
    <row r="229" spans="1:11" s="139" customFormat="1" ht="45" customHeight="1" x14ac:dyDescent="0.25">
      <c r="A229" s="141"/>
      <c r="B229" s="176" t="s">
        <v>166</v>
      </c>
      <c r="C229" s="137" t="s">
        <v>516</v>
      </c>
      <c r="D229" s="144">
        <v>44799</v>
      </c>
      <c r="E229" s="145">
        <v>47721</v>
      </c>
      <c r="F229" s="144" t="s">
        <v>47</v>
      </c>
      <c r="G229" s="146">
        <v>50000000</v>
      </c>
      <c r="H229" s="167">
        <v>4.5</v>
      </c>
      <c r="I229" s="172" t="s">
        <v>164</v>
      </c>
    </row>
    <row r="230" spans="1:11" s="8" customFormat="1" ht="45" customHeight="1" x14ac:dyDescent="0.25">
      <c r="A230" s="99"/>
      <c r="B230" s="176" t="s">
        <v>173</v>
      </c>
      <c r="C230" s="137" t="s">
        <v>514</v>
      </c>
      <c r="D230" s="145">
        <v>44834</v>
      </c>
      <c r="E230" s="145">
        <v>47756</v>
      </c>
      <c r="F230" s="144" t="s">
        <v>47</v>
      </c>
      <c r="G230" s="146">
        <v>2936100</v>
      </c>
      <c r="H230" s="167">
        <v>4.125</v>
      </c>
      <c r="I230" s="172" t="s">
        <v>145</v>
      </c>
    </row>
    <row r="231" spans="1:11" s="8" customFormat="1" ht="45" customHeight="1" x14ac:dyDescent="0.25">
      <c r="A231" s="99"/>
      <c r="B231" s="176" t="s">
        <v>142</v>
      </c>
      <c r="C231" s="137" t="s">
        <v>125</v>
      </c>
      <c r="D231" s="144">
        <v>44260</v>
      </c>
      <c r="E231" s="145">
        <v>47912</v>
      </c>
      <c r="F231" s="144" t="s">
        <v>143</v>
      </c>
      <c r="G231" s="146">
        <v>25000000</v>
      </c>
      <c r="H231" s="167">
        <v>3.125</v>
      </c>
      <c r="I231" s="172" t="s">
        <v>219</v>
      </c>
    </row>
    <row r="232" spans="1:11" s="8" customFormat="1" ht="45" customHeight="1" x14ac:dyDescent="0.25">
      <c r="A232" s="99"/>
      <c r="B232" s="176" t="s">
        <v>222</v>
      </c>
      <c r="C232" s="137" t="s">
        <v>125</v>
      </c>
      <c r="D232" s="144">
        <v>44995</v>
      </c>
      <c r="E232" s="145">
        <v>47914</v>
      </c>
      <c r="F232" s="144" t="s">
        <v>47</v>
      </c>
      <c r="G232" s="146">
        <v>100000000</v>
      </c>
      <c r="H232" s="167">
        <v>5.55</v>
      </c>
      <c r="I232" s="172" t="s">
        <v>219</v>
      </c>
    </row>
    <row r="233" spans="1:11" s="8" customFormat="1" ht="45" customHeight="1" x14ac:dyDescent="0.25">
      <c r="A233" s="99"/>
      <c r="B233" s="176" t="s">
        <v>223</v>
      </c>
      <c r="C233" s="137" t="s">
        <v>124</v>
      </c>
      <c r="D233" s="144">
        <v>44995</v>
      </c>
      <c r="E233" s="145">
        <v>47918</v>
      </c>
      <c r="F233" s="144" t="s">
        <v>47</v>
      </c>
      <c r="G233" s="146">
        <v>50000000</v>
      </c>
      <c r="H233" s="167">
        <v>5.55</v>
      </c>
      <c r="I233" s="172" t="s">
        <v>158</v>
      </c>
    </row>
    <row r="234" spans="1:11" s="139" customFormat="1" ht="45" customHeight="1" x14ac:dyDescent="0.25">
      <c r="A234" s="141"/>
      <c r="B234" s="176" t="s">
        <v>224</v>
      </c>
      <c r="C234" s="137" t="s">
        <v>516</v>
      </c>
      <c r="D234" s="144">
        <v>44995</v>
      </c>
      <c r="E234" s="145">
        <v>47922</v>
      </c>
      <c r="F234" s="144" t="s">
        <v>47</v>
      </c>
      <c r="G234" s="146">
        <v>50000000</v>
      </c>
      <c r="H234" s="167">
        <v>5.55</v>
      </c>
      <c r="I234" s="172" t="s">
        <v>164</v>
      </c>
    </row>
    <row r="235" spans="1:11" s="8" customFormat="1" ht="45" customHeight="1" x14ac:dyDescent="0.25">
      <c r="A235" s="183"/>
      <c r="B235" s="176" t="s">
        <v>155</v>
      </c>
      <c r="C235" s="137" t="s">
        <v>517</v>
      </c>
      <c r="D235" s="145">
        <v>44676</v>
      </c>
      <c r="E235" s="145">
        <v>47961</v>
      </c>
      <c r="F235" s="144" t="s">
        <v>144</v>
      </c>
      <c r="G235" s="146">
        <v>20000000</v>
      </c>
      <c r="H235" s="167">
        <v>3.375</v>
      </c>
      <c r="I235" s="172" t="s">
        <v>174</v>
      </c>
      <c r="J235" s="172"/>
      <c r="K235" s="172"/>
    </row>
    <row r="236" spans="1:11" s="8" customFormat="1" ht="45" customHeight="1" x14ac:dyDescent="0.25">
      <c r="A236" s="99"/>
      <c r="B236" s="176" t="s">
        <v>311</v>
      </c>
      <c r="C236" s="137" t="s">
        <v>517</v>
      </c>
      <c r="D236" s="145">
        <v>45016</v>
      </c>
      <c r="E236" s="145">
        <v>48302</v>
      </c>
      <c r="F236" s="144" t="s">
        <v>144</v>
      </c>
      <c r="G236" s="146">
        <v>150000000</v>
      </c>
      <c r="H236" s="167">
        <v>5.625</v>
      </c>
      <c r="I236" s="172"/>
    </row>
    <row r="237" spans="1:11" s="8" customFormat="1" ht="45" customHeight="1" x14ac:dyDescent="0.25">
      <c r="A237" s="99"/>
      <c r="B237" s="176" t="s">
        <v>309</v>
      </c>
      <c r="C237" s="137" t="s">
        <v>125</v>
      </c>
      <c r="D237" s="145">
        <v>45016</v>
      </c>
      <c r="E237" s="145">
        <v>48302</v>
      </c>
      <c r="F237" s="144" t="s">
        <v>144</v>
      </c>
      <c r="G237" s="146">
        <v>100000000</v>
      </c>
      <c r="H237" s="167">
        <v>5.75</v>
      </c>
      <c r="I237" s="172" t="s">
        <v>221</v>
      </c>
    </row>
    <row r="238" spans="1:11" s="8" customFormat="1" ht="45" customHeight="1" x14ac:dyDescent="0.25">
      <c r="A238" s="99"/>
      <c r="B238" s="176" t="s">
        <v>156</v>
      </c>
      <c r="C238" s="137" t="s">
        <v>125</v>
      </c>
      <c r="D238" s="144">
        <v>44676</v>
      </c>
      <c r="E238" s="145">
        <v>48326</v>
      </c>
      <c r="F238" s="144" t="s">
        <v>143</v>
      </c>
      <c r="G238" s="146">
        <v>20000000</v>
      </c>
      <c r="H238" s="167">
        <v>3.5</v>
      </c>
      <c r="I238" s="172" t="s">
        <v>221</v>
      </c>
    </row>
    <row r="239" spans="1:11" s="8" customFormat="1" ht="45" customHeight="1" x14ac:dyDescent="0.25">
      <c r="A239" s="99"/>
      <c r="B239" s="176" t="s">
        <v>324</v>
      </c>
      <c r="C239" s="181" t="s">
        <v>504</v>
      </c>
      <c r="D239" s="145">
        <v>45091</v>
      </c>
      <c r="E239" s="145">
        <v>48379</v>
      </c>
      <c r="F239" s="144" t="s">
        <v>144</v>
      </c>
      <c r="G239" s="146">
        <v>406000</v>
      </c>
      <c r="H239" s="167">
        <v>5.7</v>
      </c>
      <c r="I239" s="172" t="s">
        <v>221</v>
      </c>
    </row>
    <row r="240" spans="1:11" s="8" customFormat="1" ht="45" customHeight="1" x14ac:dyDescent="0.25">
      <c r="A240" s="99"/>
      <c r="B240" s="176" t="s">
        <v>327</v>
      </c>
      <c r="C240" s="181" t="s">
        <v>125</v>
      </c>
      <c r="D240" s="145">
        <v>45091</v>
      </c>
      <c r="E240" s="145">
        <v>48379</v>
      </c>
      <c r="F240" s="144" t="s">
        <v>144</v>
      </c>
      <c r="G240" s="146">
        <v>61183432</v>
      </c>
      <c r="H240" s="167">
        <v>5.7</v>
      </c>
      <c r="I240" s="172" t="s">
        <v>158</v>
      </c>
    </row>
    <row r="241" spans="1:9" s="8" customFormat="1" ht="45" customHeight="1" x14ac:dyDescent="0.25">
      <c r="A241" s="99"/>
      <c r="B241" s="176" t="s">
        <v>328</v>
      </c>
      <c r="C241" s="181" t="s">
        <v>124</v>
      </c>
      <c r="D241" s="145">
        <v>45091</v>
      </c>
      <c r="E241" s="145">
        <v>48379</v>
      </c>
      <c r="F241" s="144" t="s">
        <v>144</v>
      </c>
      <c r="G241" s="146">
        <v>38009297</v>
      </c>
      <c r="H241" s="167">
        <v>5.7</v>
      </c>
      <c r="I241" s="172" t="s">
        <v>310</v>
      </c>
    </row>
    <row r="242" spans="1:9" s="8" customFormat="1" ht="45" customHeight="1" x14ac:dyDescent="0.25">
      <c r="A242" s="99"/>
      <c r="B242" s="176" t="s">
        <v>329</v>
      </c>
      <c r="C242" s="181" t="s">
        <v>505</v>
      </c>
      <c r="D242" s="145">
        <v>45091</v>
      </c>
      <c r="E242" s="145">
        <v>48379</v>
      </c>
      <c r="F242" s="144" t="s">
        <v>144</v>
      </c>
      <c r="G242" s="146">
        <v>1760000</v>
      </c>
      <c r="H242" s="167">
        <v>5.7</v>
      </c>
      <c r="I242" s="172" t="s">
        <v>310</v>
      </c>
    </row>
    <row r="243" spans="1:9" s="8" customFormat="1" ht="45" customHeight="1" x14ac:dyDescent="0.25">
      <c r="A243" s="99"/>
      <c r="B243" s="176" t="s">
        <v>412</v>
      </c>
      <c r="C243" s="181" t="s">
        <v>125</v>
      </c>
      <c r="D243" s="145">
        <v>45274</v>
      </c>
      <c r="E243" s="145">
        <v>48927</v>
      </c>
      <c r="F243" s="144" t="s">
        <v>331</v>
      </c>
      <c r="G243" s="146">
        <v>507900.32</v>
      </c>
      <c r="H243" s="167">
        <v>5.7</v>
      </c>
      <c r="I243" s="172" t="s">
        <v>326</v>
      </c>
    </row>
    <row r="244" spans="1:9" s="8" customFormat="1" ht="45" customHeight="1" x14ac:dyDescent="0.25">
      <c r="A244" s="99"/>
      <c r="B244" s="176" t="s">
        <v>480</v>
      </c>
      <c r="C244" s="181" t="s">
        <v>484</v>
      </c>
      <c r="D244" s="145">
        <v>45464</v>
      </c>
      <c r="E244" s="145">
        <v>48751</v>
      </c>
      <c r="F244" s="144" t="s">
        <v>481</v>
      </c>
      <c r="G244" s="146">
        <v>25302146</v>
      </c>
      <c r="H244" s="167">
        <v>6</v>
      </c>
      <c r="I244" s="172" t="s">
        <v>483</v>
      </c>
    </row>
    <row r="245" spans="1:9" s="8" customFormat="1" ht="45" customHeight="1" x14ac:dyDescent="0.25">
      <c r="A245" s="99"/>
      <c r="B245" s="176" t="s">
        <v>482</v>
      </c>
      <c r="C245" s="181" t="s">
        <v>506</v>
      </c>
      <c r="D245" s="145">
        <v>45464</v>
      </c>
      <c r="E245" s="145">
        <v>48751</v>
      </c>
      <c r="F245" s="144" t="s">
        <v>481</v>
      </c>
      <c r="G245" s="146">
        <v>26980767</v>
      </c>
      <c r="H245" s="167">
        <v>6</v>
      </c>
      <c r="I245" s="172" t="s">
        <v>483</v>
      </c>
    </row>
    <row r="246" spans="1:9" s="8" customFormat="1" ht="45" customHeight="1" x14ac:dyDescent="0.25">
      <c r="A246" s="99"/>
      <c r="B246" s="432" t="s">
        <v>550</v>
      </c>
      <c r="C246" s="428"/>
      <c r="D246" s="421">
        <v>45496</v>
      </c>
      <c r="E246" s="421">
        <v>48781</v>
      </c>
      <c r="F246" s="378" t="s">
        <v>551</v>
      </c>
      <c r="G246" s="379">
        <v>97717087</v>
      </c>
      <c r="H246" s="430">
        <v>6</v>
      </c>
      <c r="I246" s="172" t="s">
        <v>544</v>
      </c>
    </row>
    <row r="247" spans="1:9" s="8" customFormat="1" ht="30" customHeight="1" x14ac:dyDescent="0.25">
      <c r="A247" s="99"/>
      <c r="B247" s="783" t="s">
        <v>189</v>
      </c>
      <c r="C247" s="790"/>
      <c r="D247" s="790"/>
      <c r="E247" s="790"/>
      <c r="F247" s="790"/>
      <c r="G247" s="205">
        <f>SUM(G248:G252)</f>
        <v>46635131.039999999</v>
      </c>
      <c r="H247" s="354"/>
      <c r="I247" s="172"/>
    </row>
    <row r="248" spans="1:9" s="8" customFormat="1" ht="45" customHeight="1" x14ac:dyDescent="0.25">
      <c r="A248" s="99"/>
      <c r="B248" s="176">
        <v>1710142715</v>
      </c>
      <c r="C248" s="181" t="s">
        <v>23</v>
      </c>
      <c r="D248" s="144">
        <v>45183</v>
      </c>
      <c r="E248" s="144">
        <v>45548</v>
      </c>
      <c r="F248" s="144" t="s">
        <v>199</v>
      </c>
      <c r="G248" s="146">
        <v>1923539.11</v>
      </c>
      <c r="H248" s="182">
        <v>6</v>
      </c>
      <c r="I248" s="172"/>
    </row>
    <row r="249" spans="1:9" s="8" customFormat="1" ht="45" customHeight="1" x14ac:dyDescent="0.25">
      <c r="A249" s="99"/>
      <c r="B249" s="176">
        <v>1710142723</v>
      </c>
      <c r="C249" s="181" t="s">
        <v>379</v>
      </c>
      <c r="D249" s="144">
        <v>45183</v>
      </c>
      <c r="E249" s="144">
        <v>45548</v>
      </c>
      <c r="F249" s="144" t="s">
        <v>199</v>
      </c>
      <c r="G249" s="146">
        <v>15574.93</v>
      </c>
      <c r="H249" s="182">
        <v>6</v>
      </c>
      <c r="I249" s="172" t="s">
        <v>388</v>
      </c>
    </row>
    <row r="250" spans="1:9" s="8" customFormat="1" ht="45" customHeight="1" x14ac:dyDescent="0.25">
      <c r="A250" s="99"/>
      <c r="B250" s="176">
        <v>1710142740</v>
      </c>
      <c r="C250" s="181" t="s">
        <v>494</v>
      </c>
      <c r="D250" s="144">
        <v>45183</v>
      </c>
      <c r="E250" s="144">
        <v>45549</v>
      </c>
      <c r="F250" s="144" t="s">
        <v>199</v>
      </c>
      <c r="G250" s="146">
        <v>14876017</v>
      </c>
      <c r="H250" s="182">
        <v>6</v>
      </c>
      <c r="I250" s="172" t="s">
        <v>388</v>
      </c>
    </row>
    <row r="251" spans="1:9" s="8" customFormat="1" ht="45" customHeight="1" x14ac:dyDescent="0.25">
      <c r="A251" s="99"/>
      <c r="B251" s="176">
        <v>1710140460</v>
      </c>
      <c r="C251" s="181" t="s">
        <v>507</v>
      </c>
      <c r="D251" s="144">
        <v>44925</v>
      </c>
      <c r="E251" s="144">
        <v>45656</v>
      </c>
      <c r="F251" s="144" t="s">
        <v>8</v>
      </c>
      <c r="G251" s="146">
        <v>13000000</v>
      </c>
      <c r="H251" s="182">
        <v>6.625</v>
      </c>
      <c r="I251" s="172" t="s">
        <v>190</v>
      </c>
    </row>
    <row r="252" spans="1:9" s="8" customFormat="1" ht="45" customHeight="1" x14ac:dyDescent="0.25">
      <c r="A252" s="99"/>
      <c r="B252" s="176">
        <v>1710142730</v>
      </c>
      <c r="C252" s="181" t="s">
        <v>494</v>
      </c>
      <c r="D252" s="144">
        <v>45183</v>
      </c>
      <c r="E252" s="144">
        <v>45912</v>
      </c>
      <c r="F252" s="144" t="s">
        <v>333</v>
      </c>
      <c r="G252" s="146">
        <v>16820000</v>
      </c>
      <c r="H252" s="182">
        <v>6.1875</v>
      </c>
      <c r="I252" s="172" t="s">
        <v>388</v>
      </c>
    </row>
    <row r="253" spans="1:9" s="12" customFormat="1" ht="30" customHeight="1" x14ac:dyDescent="0.25">
      <c r="A253" s="100"/>
      <c r="B253" s="783" t="s">
        <v>486</v>
      </c>
      <c r="C253" s="790"/>
      <c r="D253" s="790"/>
      <c r="E253" s="790"/>
      <c r="F253" s="790"/>
      <c r="G253" s="205">
        <f>SUM(G254:G255)</f>
        <v>50000000</v>
      </c>
      <c r="H253" s="354"/>
      <c r="I253" s="263"/>
    </row>
    <row r="254" spans="1:9" s="12" customFormat="1" ht="45" customHeight="1" x14ac:dyDescent="0.25">
      <c r="A254" s="100"/>
      <c r="B254" s="176">
        <v>202286149</v>
      </c>
      <c r="C254" s="137" t="s">
        <v>556</v>
      </c>
      <c r="D254" s="144">
        <v>45446</v>
      </c>
      <c r="E254" s="144">
        <v>46176</v>
      </c>
      <c r="F254" s="144" t="s">
        <v>9</v>
      </c>
      <c r="G254" s="146">
        <v>25000000</v>
      </c>
      <c r="H254" s="182">
        <v>5.375</v>
      </c>
      <c r="I254" s="263"/>
    </row>
    <row r="255" spans="1:9" s="12" customFormat="1" ht="45" customHeight="1" x14ac:dyDescent="0.25">
      <c r="A255" s="100"/>
      <c r="B255" s="176">
        <v>202286169</v>
      </c>
      <c r="C255" s="137" t="s">
        <v>556</v>
      </c>
      <c r="D255" s="144">
        <v>45446</v>
      </c>
      <c r="E255" s="144">
        <v>46176</v>
      </c>
      <c r="F255" s="144" t="s">
        <v>9</v>
      </c>
      <c r="G255" s="146">
        <v>25000000</v>
      </c>
      <c r="H255" s="182">
        <v>5.375</v>
      </c>
      <c r="I255" s="263"/>
    </row>
    <row r="256" spans="1:9" s="12" customFormat="1" ht="30" customHeight="1" x14ac:dyDescent="0.25">
      <c r="A256" s="100"/>
      <c r="B256" s="783" t="s">
        <v>31</v>
      </c>
      <c r="C256" s="790"/>
      <c r="D256" s="790"/>
      <c r="E256" s="790"/>
      <c r="F256" s="790"/>
      <c r="G256" s="205">
        <f>SUM(G257:G258)</f>
        <v>95000000</v>
      </c>
      <c r="H256" s="354"/>
      <c r="I256" s="263"/>
    </row>
    <row r="257" spans="1:9" s="12" customFormat="1" ht="45" customHeight="1" x14ac:dyDescent="0.25">
      <c r="A257" s="100"/>
      <c r="B257" s="176">
        <v>258906537</v>
      </c>
      <c r="C257" s="137" t="s">
        <v>507</v>
      </c>
      <c r="D257" s="144">
        <v>44925</v>
      </c>
      <c r="E257" s="144">
        <v>45656</v>
      </c>
      <c r="F257" s="144" t="s">
        <v>8</v>
      </c>
      <c r="G257" s="146">
        <v>20000000</v>
      </c>
      <c r="H257" s="182">
        <v>7</v>
      </c>
      <c r="I257" s="263"/>
    </row>
    <row r="258" spans="1:9" s="12" customFormat="1" ht="45" customHeight="1" x14ac:dyDescent="0.25">
      <c r="A258" s="100"/>
      <c r="B258" s="176">
        <v>258906338</v>
      </c>
      <c r="C258" s="137" t="s">
        <v>517</v>
      </c>
      <c r="D258" s="144">
        <v>44777</v>
      </c>
      <c r="E258" s="144">
        <v>45873</v>
      </c>
      <c r="F258" s="144" t="s">
        <v>9</v>
      </c>
      <c r="G258" s="146">
        <v>75000000</v>
      </c>
      <c r="H258" s="182">
        <v>5.25</v>
      </c>
      <c r="I258" s="263"/>
    </row>
    <row r="259" spans="1:9" s="12" customFormat="1" ht="30" customHeight="1" x14ac:dyDescent="0.25">
      <c r="A259" s="100"/>
      <c r="B259" s="783" t="s">
        <v>26</v>
      </c>
      <c r="C259" s="790"/>
      <c r="D259" s="790"/>
      <c r="E259" s="790"/>
      <c r="F259" s="790"/>
      <c r="G259" s="205">
        <f>SUM(G260:G261)</f>
        <v>150000000</v>
      </c>
      <c r="H259" s="354"/>
      <c r="I259" s="263"/>
    </row>
    <row r="260" spans="1:9" s="12" customFormat="1" ht="45" customHeight="1" x14ac:dyDescent="0.25">
      <c r="A260" s="266"/>
      <c r="B260" s="176">
        <v>50401000670</v>
      </c>
      <c r="C260" s="137" t="s">
        <v>517</v>
      </c>
      <c r="D260" s="144">
        <v>44802</v>
      </c>
      <c r="E260" s="144">
        <v>46262</v>
      </c>
      <c r="F260" s="144" t="s">
        <v>15</v>
      </c>
      <c r="G260" s="146">
        <v>75000000</v>
      </c>
      <c r="H260" s="182">
        <v>4.7</v>
      </c>
      <c r="I260" s="263"/>
    </row>
    <row r="261" spans="1:9" s="12" customFormat="1" ht="45" customHeight="1" x14ac:dyDescent="0.25">
      <c r="A261" s="266"/>
      <c r="B261" s="176">
        <v>50401000686</v>
      </c>
      <c r="C261" s="137" t="s">
        <v>517</v>
      </c>
      <c r="D261" s="144">
        <v>44802</v>
      </c>
      <c r="E261" s="144">
        <v>46627</v>
      </c>
      <c r="F261" s="144" t="s">
        <v>6</v>
      </c>
      <c r="G261" s="146">
        <v>75000000</v>
      </c>
      <c r="H261" s="182">
        <v>4.8</v>
      </c>
      <c r="I261" s="263"/>
    </row>
    <row r="262" spans="1:9" s="8" customFormat="1" ht="30" hidden="1" customHeight="1" x14ac:dyDescent="0.25">
      <c r="A262" s="100"/>
      <c r="B262" s="783" t="s">
        <v>41</v>
      </c>
      <c r="C262" s="784"/>
      <c r="D262" s="784"/>
      <c r="E262" s="784"/>
      <c r="F262" s="784"/>
      <c r="G262" s="205">
        <f>SUM(G263:G263)</f>
        <v>0</v>
      </c>
      <c r="H262" s="354"/>
      <c r="I262" s="172"/>
    </row>
    <row r="263" spans="1:9" s="12" customFormat="1" ht="30" hidden="1" customHeight="1" x14ac:dyDescent="0.25">
      <c r="A263" s="99"/>
      <c r="B263" s="176"/>
      <c r="C263" s="181" t="s">
        <v>83</v>
      </c>
      <c r="D263" s="145">
        <v>42356</v>
      </c>
      <c r="E263" s="145">
        <v>45278</v>
      </c>
      <c r="F263" s="144" t="s">
        <v>47</v>
      </c>
      <c r="G263" s="146"/>
      <c r="H263" s="167">
        <v>5</v>
      </c>
      <c r="I263" s="263"/>
    </row>
    <row r="264" spans="1:9" s="12" customFormat="1" ht="30" customHeight="1" x14ac:dyDescent="0.25">
      <c r="A264" s="99"/>
      <c r="B264" s="783" t="s">
        <v>167</v>
      </c>
      <c r="C264" s="784"/>
      <c r="D264" s="784"/>
      <c r="E264" s="784"/>
      <c r="F264" s="784"/>
      <c r="G264" s="205">
        <f>SUM(G265:G270)</f>
        <v>175000000</v>
      </c>
      <c r="H264" s="354"/>
      <c r="I264" s="263"/>
    </row>
    <row r="265" spans="1:9" s="12" customFormat="1" ht="45" customHeight="1" x14ac:dyDescent="0.25">
      <c r="A265" s="99"/>
      <c r="B265" s="176">
        <v>70100566449</v>
      </c>
      <c r="C265" s="181" t="s">
        <v>509</v>
      </c>
      <c r="D265" s="145">
        <v>45446</v>
      </c>
      <c r="E265" s="145">
        <v>45811</v>
      </c>
      <c r="F265" s="144" t="s">
        <v>323</v>
      </c>
      <c r="G265" s="146">
        <v>21263732.129999999</v>
      </c>
      <c r="H265" s="167">
        <v>5.5</v>
      </c>
      <c r="I265" s="263"/>
    </row>
    <row r="266" spans="1:9" s="12" customFormat="1" ht="45" customHeight="1" x14ac:dyDescent="0.25">
      <c r="A266" s="99"/>
      <c r="B266" s="176">
        <v>70100566412</v>
      </c>
      <c r="C266" s="181" t="s">
        <v>508</v>
      </c>
      <c r="D266" s="145">
        <v>45446</v>
      </c>
      <c r="E266" s="145">
        <v>45811</v>
      </c>
      <c r="F266" s="144" t="s">
        <v>323</v>
      </c>
      <c r="G266" s="146">
        <v>392915.32</v>
      </c>
      <c r="H266" s="167">
        <v>5.5</v>
      </c>
      <c r="I266" s="263"/>
    </row>
    <row r="267" spans="1:9" s="12" customFormat="1" ht="45" customHeight="1" x14ac:dyDescent="0.25">
      <c r="A267" s="99"/>
      <c r="B267" s="176">
        <v>70100566501</v>
      </c>
      <c r="C267" s="181" t="s">
        <v>514</v>
      </c>
      <c r="D267" s="145">
        <v>45446</v>
      </c>
      <c r="E267" s="145">
        <v>45811</v>
      </c>
      <c r="F267" s="144" t="s">
        <v>199</v>
      </c>
      <c r="G267" s="146">
        <v>3343352.55</v>
      </c>
      <c r="H267" s="167">
        <v>5.5</v>
      </c>
      <c r="I267" s="263"/>
    </row>
    <row r="268" spans="1:9" s="12" customFormat="1" ht="45" customHeight="1" x14ac:dyDescent="0.25">
      <c r="A268" s="99"/>
      <c r="B268" s="176">
        <v>130020000610160</v>
      </c>
      <c r="C268" s="181" t="s">
        <v>516</v>
      </c>
      <c r="D268" s="145">
        <v>44803</v>
      </c>
      <c r="E268" s="145">
        <v>45898</v>
      </c>
      <c r="F268" s="144" t="s">
        <v>9</v>
      </c>
      <c r="G268" s="146">
        <v>50000000</v>
      </c>
      <c r="H268" s="167">
        <v>4.0999999999999996</v>
      </c>
      <c r="I268" s="263"/>
    </row>
    <row r="269" spans="1:9" s="12" customFormat="1" ht="45" customHeight="1" x14ac:dyDescent="0.25">
      <c r="A269" s="99"/>
      <c r="B269" s="176">
        <v>130020000610112</v>
      </c>
      <c r="C269" s="181" t="s">
        <v>516</v>
      </c>
      <c r="D269" s="145">
        <v>44803</v>
      </c>
      <c r="E269" s="145">
        <v>46265</v>
      </c>
      <c r="F269" s="144" t="s">
        <v>15</v>
      </c>
      <c r="G269" s="146">
        <v>50000000</v>
      </c>
      <c r="H269" s="167">
        <v>4.5</v>
      </c>
      <c r="I269" s="263"/>
    </row>
    <row r="270" spans="1:9" s="12" customFormat="1" ht="45" customHeight="1" x14ac:dyDescent="0.25">
      <c r="A270" s="99"/>
      <c r="B270" s="176">
        <v>130020000610110</v>
      </c>
      <c r="C270" s="181" t="s">
        <v>516</v>
      </c>
      <c r="D270" s="145">
        <v>44803</v>
      </c>
      <c r="E270" s="145">
        <v>46629</v>
      </c>
      <c r="F270" s="144" t="s">
        <v>6</v>
      </c>
      <c r="G270" s="146">
        <v>50000000</v>
      </c>
      <c r="H270" s="167">
        <v>5</v>
      </c>
      <c r="I270" s="263"/>
    </row>
    <row r="271" spans="1:9" s="148" customFormat="1" ht="17.25" customHeight="1" x14ac:dyDescent="0.25">
      <c r="A271" s="147"/>
      <c r="B271" s="796"/>
      <c r="C271" s="792"/>
      <c r="D271" s="792"/>
      <c r="E271" s="792"/>
      <c r="F271" s="792"/>
      <c r="G271" s="792"/>
      <c r="H271" s="267"/>
      <c r="I271" s="268"/>
    </row>
    <row r="272" spans="1:9" s="149" customFormat="1" ht="45" customHeight="1" x14ac:dyDescent="0.25">
      <c r="A272" s="147"/>
      <c r="B272" s="269"/>
      <c r="C272" s="157"/>
      <c r="D272" s="794" t="s">
        <v>4</v>
      </c>
      <c r="E272" s="794"/>
      <c r="F272" s="170"/>
      <c r="G272" s="270">
        <f>COUNT(G8:G133,G135:G246,G263,G248:G252,G260:G261,G257:G258,G265:G270,G254,G255)</f>
        <v>254</v>
      </c>
      <c r="H272" s="271"/>
      <c r="I272" s="272"/>
    </row>
    <row r="273" spans="1:9" s="151" customFormat="1" ht="45" customHeight="1" x14ac:dyDescent="0.25">
      <c r="A273" s="150"/>
      <c r="B273" s="375" t="s">
        <v>79</v>
      </c>
      <c r="C273" s="273"/>
      <c r="D273" s="157"/>
      <c r="E273" s="157"/>
      <c r="F273" s="170"/>
      <c r="G273" s="157" t="s">
        <v>36</v>
      </c>
      <c r="H273" s="274"/>
      <c r="I273" s="310"/>
    </row>
    <row r="274" spans="1:9" s="151" customFormat="1" ht="15" x14ac:dyDescent="0.25">
      <c r="A274" s="152"/>
      <c r="B274" s="208">
        <v>45504</v>
      </c>
      <c r="C274" s="161"/>
      <c r="D274" s="161"/>
      <c r="E274" s="161"/>
      <c r="F274" s="275" t="s">
        <v>467</v>
      </c>
      <c r="G274" s="161"/>
      <c r="H274" s="209"/>
      <c r="I274" s="310"/>
    </row>
    <row r="275" spans="1:9" s="151" customFormat="1" ht="15" x14ac:dyDescent="0.25">
      <c r="A275" s="153"/>
      <c r="B275" s="276" t="s">
        <v>360</v>
      </c>
      <c r="C275" s="157"/>
      <c r="D275" s="160" t="s">
        <v>358</v>
      </c>
      <c r="E275" s="158"/>
      <c r="F275" s="170"/>
      <c r="G275" s="158"/>
      <c r="H275" s="274"/>
      <c r="I275" s="310"/>
    </row>
    <row r="276" spans="1:9" s="151" customFormat="1" ht="15" x14ac:dyDescent="0.25">
      <c r="A276" s="154"/>
      <c r="B276" s="797" t="s">
        <v>312</v>
      </c>
      <c r="C276" s="791"/>
      <c r="D276" s="791" t="s">
        <v>362</v>
      </c>
      <c r="E276" s="792"/>
      <c r="F276" s="792"/>
      <c r="G276" s="792"/>
      <c r="H276" s="793"/>
      <c r="I276" s="310"/>
    </row>
    <row r="277" spans="1:9" s="151" customFormat="1" ht="15" x14ac:dyDescent="0.25">
      <c r="A277" s="154"/>
      <c r="B277" s="797" t="s">
        <v>378</v>
      </c>
      <c r="C277" s="791"/>
      <c r="D277" s="794" t="s">
        <v>363</v>
      </c>
      <c r="E277" s="794"/>
      <c r="F277" s="794"/>
      <c r="G277" s="794"/>
      <c r="H277" s="795"/>
      <c r="I277" s="310"/>
    </row>
    <row r="278" spans="1:9" s="151" customFormat="1" ht="45" customHeight="1" x14ac:dyDescent="0.25">
      <c r="A278" s="154"/>
      <c r="B278" s="788"/>
      <c r="C278" s="789"/>
      <c r="D278" s="352"/>
      <c r="E278" s="352"/>
      <c r="F278" s="374"/>
      <c r="G278" s="352"/>
      <c r="H278" s="353"/>
      <c r="I278" s="310"/>
    </row>
    <row r="279" spans="1:9" ht="21.75" customHeight="1" x14ac:dyDescent="0.25"/>
    <row r="283" spans="1:9" s="8" customFormat="1" ht="30.75" customHeight="1" x14ac:dyDescent="0.25">
      <c r="A283" s="183"/>
      <c r="B283" s="278"/>
      <c r="C283" s="278"/>
      <c r="D283" s="278"/>
      <c r="E283" s="278"/>
      <c r="F283" s="279"/>
      <c r="G283" s="278"/>
      <c r="H283" s="278"/>
      <c r="I283" s="172"/>
    </row>
  </sheetData>
  <sortState ref="B105:H225">
    <sortCondition ref="E105:E225"/>
  </sortState>
  <mergeCells count="18">
    <mergeCell ref="B2:H2"/>
    <mergeCell ref="B4:H4"/>
    <mergeCell ref="B7:E7"/>
    <mergeCell ref="B134:F134"/>
    <mergeCell ref="B256:F256"/>
    <mergeCell ref="B262:F262"/>
    <mergeCell ref="B3:H3"/>
    <mergeCell ref="B278:C278"/>
    <mergeCell ref="B259:F259"/>
    <mergeCell ref="D276:H276"/>
    <mergeCell ref="D277:H277"/>
    <mergeCell ref="D272:E272"/>
    <mergeCell ref="B271:G271"/>
    <mergeCell ref="B276:C276"/>
    <mergeCell ref="B277:C277"/>
    <mergeCell ref="B264:F264"/>
    <mergeCell ref="B247:F247"/>
    <mergeCell ref="B253:F253"/>
  </mergeCells>
  <conditionalFormatting sqref="F8:F28">
    <cfRule type="timePeriod" dxfId="34" priority="1" timePeriod="nextMonth">
      <formula>AND(MONTH(F8)=MONTH(EDATE(TODAY(),0+1)),YEAR(F8)=YEAR(EDATE(TODAY(),0+1)))</formula>
    </cfRule>
  </conditionalFormatting>
  <conditionalFormatting sqref="F31:F80 F82:F110">
    <cfRule type="timePeriod" dxfId="33" priority="21" timePeriod="nextMonth">
      <formula>AND(MONTH(F31)=MONTH(EDATE(TODAY(),0+1)),YEAR(F31)=YEAR(EDATE(TODAY(),0+1)))</formula>
    </cfRule>
  </conditionalFormatting>
  <conditionalFormatting sqref="F123:F133">
    <cfRule type="timePeriod" dxfId="32" priority="3" timePeriod="nextMonth">
      <formula>AND(MONTH(F123)=MONTH(EDATE(TODAY(),0+1)),YEAR(F123)=YEAR(EDATE(TODAY(),0+1)))</formula>
    </cfRule>
  </conditionalFormatting>
  <printOptions horizontalCentered="1"/>
  <pageMargins left="0.59055118110236227" right="0.39370078740157483" top="0.78740157480314965" bottom="0.59055118110236227" header="0.31496062992125984" footer="0.31496062992125984"/>
  <pageSetup paperSize="32767" scale="50" fitToHeight="0" orientation="portrait" blackAndWhite="1" r:id="rId1"/>
  <headerFooter alignWithMargins="0">
    <oddFooter>&amp;C&amp;"Arial,Normal"&amp;8Página &amp;P de &amp;N</oddFooter>
  </headerFooter>
  <rowBreaks count="10" manualBreakCount="10">
    <brk id="12" min="1" max="7" man="1"/>
    <brk id="39" min="1" max="7" man="1"/>
    <brk id="65" min="1" max="7" man="1"/>
    <brk id="92" min="1" max="7" man="1"/>
    <brk id="119" min="1" max="7" man="1"/>
    <brk id="138" min="1" max="7" man="1"/>
    <brk id="165" min="1" max="7" man="1"/>
    <brk id="192" min="1" max="7" man="1"/>
    <brk id="219" min="1" max="7" man="1"/>
    <brk id="247" min="1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7" transitionEvaluation="1">
    <tabColor rgb="FFFFFF00"/>
  </sheetPr>
  <dimension ref="A1:U75"/>
  <sheetViews>
    <sheetView showGridLines="0" topLeftCell="A17" zoomScaleNormal="100" zoomScaleSheetLayoutView="70" workbookViewId="0">
      <selection activeCell="G29" sqref="G29"/>
    </sheetView>
  </sheetViews>
  <sheetFormatPr baseColWidth="10" defaultColWidth="17.7109375" defaultRowHeight="13.5" customHeight="1" x14ac:dyDescent="0.25"/>
  <cols>
    <col min="1" max="1" width="7.42578125" style="1" customWidth="1"/>
    <col min="2" max="2" width="50.5703125" style="10" customWidth="1"/>
    <col min="3" max="4" width="25" style="10" customWidth="1"/>
    <col min="5" max="5" width="25.140625" style="19" hidden="1" customWidth="1"/>
    <col min="6" max="6" width="19.5703125" style="19" hidden="1" customWidth="1"/>
    <col min="7" max="7" width="17.85546875" style="19" customWidth="1"/>
    <col min="8" max="8" width="32.140625" style="19" hidden="1" customWidth="1"/>
    <col min="9" max="9" width="25.85546875" style="10" customWidth="1"/>
    <col min="10" max="10" width="19.140625" style="19" customWidth="1"/>
    <col min="11" max="11" width="35" style="121" hidden="1" customWidth="1"/>
    <col min="12" max="12" width="28" style="3" hidden="1" customWidth="1"/>
    <col min="13" max="16" width="17.7109375" style="3"/>
    <col min="17" max="16384" width="17.7109375" style="1"/>
  </cols>
  <sheetData>
    <row r="1" spans="1:16" s="12" customFormat="1" ht="11.25" customHeight="1" x14ac:dyDescent="0.25">
      <c r="B1" s="492"/>
      <c r="C1" s="492"/>
      <c r="D1" s="492"/>
      <c r="E1" s="493"/>
      <c r="F1" s="493"/>
      <c r="G1" s="493"/>
      <c r="H1" s="493"/>
      <c r="I1" s="492"/>
      <c r="J1" s="494"/>
      <c r="K1" s="121"/>
      <c r="L1" s="337"/>
      <c r="M1" s="11"/>
      <c r="N1" s="11"/>
      <c r="O1" s="11"/>
      <c r="P1" s="11"/>
    </row>
    <row r="2" spans="1:16" s="13" customFormat="1" ht="21.95" customHeight="1" x14ac:dyDescent="0.25">
      <c r="B2" s="808" t="s">
        <v>0</v>
      </c>
      <c r="C2" s="808"/>
      <c r="D2" s="808"/>
      <c r="E2" s="808"/>
      <c r="F2" s="808"/>
      <c r="G2" s="808"/>
      <c r="H2" s="808"/>
      <c r="I2" s="808"/>
      <c r="J2" s="808"/>
      <c r="K2" s="121"/>
      <c r="L2" s="24"/>
      <c r="M2" s="20"/>
      <c r="N2" s="20"/>
      <c r="O2" s="20"/>
      <c r="P2" s="20"/>
    </row>
    <row r="3" spans="1:16" s="473" customFormat="1" ht="21.95" customHeight="1" x14ac:dyDescent="0.25">
      <c r="B3" s="808" t="s">
        <v>597</v>
      </c>
      <c r="C3" s="808"/>
      <c r="D3" s="808"/>
      <c r="E3" s="808"/>
      <c r="F3" s="808"/>
      <c r="G3" s="808"/>
      <c r="H3" s="808"/>
      <c r="I3" s="808"/>
      <c r="J3" s="808"/>
      <c r="K3" s="121"/>
      <c r="L3" s="474"/>
      <c r="M3" s="20"/>
      <c r="N3" s="20"/>
      <c r="O3" s="20"/>
      <c r="P3" s="20"/>
    </row>
    <row r="4" spans="1:16" s="24" customFormat="1" ht="21.95" customHeight="1" x14ac:dyDescent="0.25">
      <c r="A4" s="21"/>
      <c r="B4" s="809" t="s">
        <v>71</v>
      </c>
      <c r="C4" s="809"/>
      <c r="D4" s="809"/>
      <c r="E4" s="809"/>
      <c r="F4" s="809"/>
      <c r="G4" s="809"/>
      <c r="H4" s="809"/>
      <c r="I4" s="809"/>
      <c r="J4" s="809"/>
      <c r="K4" s="98"/>
      <c r="L4" s="23"/>
      <c r="M4" s="20"/>
      <c r="N4" s="20"/>
      <c r="O4" s="20"/>
      <c r="P4" s="21"/>
    </row>
    <row r="5" spans="1:16" s="13" customFormat="1" ht="21.95" customHeight="1" x14ac:dyDescent="0.25">
      <c r="B5" s="810" t="str">
        <f>'VENC. '!$B$4</f>
        <v>AL 31 DE JULIO  DE 2024</v>
      </c>
      <c r="C5" s="810"/>
      <c r="D5" s="810"/>
      <c r="E5" s="810"/>
      <c r="F5" s="810"/>
      <c r="G5" s="810"/>
      <c r="H5" s="810"/>
      <c r="I5" s="810"/>
      <c r="J5" s="810"/>
      <c r="K5" s="98"/>
      <c r="L5" s="108"/>
      <c r="M5" s="20"/>
      <c r="N5" s="20"/>
      <c r="O5" s="20"/>
      <c r="P5" s="20"/>
    </row>
    <row r="6" spans="1:16" ht="38.25" customHeight="1" x14ac:dyDescent="0.25">
      <c r="B6" s="811" t="s">
        <v>1</v>
      </c>
      <c r="C6" s="811" t="s">
        <v>594</v>
      </c>
      <c r="D6" s="811" t="s">
        <v>595</v>
      </c>
      <c r="E6" s="811" t="s">
        <v>2</v>
      </c>
      <c r="F6" s="812" t="s">
        <v>588</v>
      </c>
      <c r="G6" s="812" t="s">
        <v>596</v>
      </c>
      <c r="H6" s="811"/>
      <c r="I6" s="811" t="s">
        <v>598</v>
      </c>
      <c r="J6" s="811" t="s">
        <v>3</v>
      </c>
      <c r="K6" s="806" t="s">
        <v>139</v>
      </c>
      <c r="L6" s="475"/>
    </row>
    <row r="7" spans="1:16" ht="31.5" customHeight="1" x14ac:dyDescent="0.25">
      <c r="B7" s="811"/>
      <c r="C7" s="811"/>
      <c r="D7" s="811"/>
      <c r="E7" s="811"/>
      <c r="F7" s="812"/>
      <c r="G7" s="812"/>
      <c r="H7" s="811"/>
      <c r="I7" s="811"/>
      <c r="J7" s="811"/>
      <c r="K7" s="807"/>
      <c r="L7" s="18"/>
      <c r="M7" s="11"/>
    </row>
    <row r="8" spans="1:16" ht="24.95" customHeight="1" x14ac:dyDescent="0.25">
      <c r="B8" s="553" t="s">
        <v>129</v>
      </c>
      <c r="C8" s="552"/>
      <c r="D8" s="552"/>
      <c r="E8" s="551"/>
      <c r="F8" s="588">
        <f>+(I10*F10+I12*F12+I11*F11)/I8</f>
        <v>418</v>
      </c>
      <c r="G8" s="554"/>
      <c r="H8" s="502">
        <f>+H9+H12+H13</f>
        <v>324583158928.95001</v>
      </c>
      <c r="I8" s="382">
        <f>+I9+I12+I13</f>
        <v>734544714.95000005</v>
      </c>
      <c r="J8" s="555">
        <f>+L8/I8</f>
        <v>5.15</v>
      </c>
      <c r="K8" s="131"/>
      <c r="L8" s="465">
        <f>+L9+L12+L13</f>
        <v>3779462057.4699998</v>
      </c>
      <c r="M8" s="464"/>
      <c r="N8" s="464"/>
    </row>
    <row r="9" spans="1:16" ht="24.95" hidden="1" customHeight="1" x14ac:dyDescent="0.25">
      <c r="B9" s="449" t="s">
        <v>592</v>
      </c>
      <c r="C9" s="505"/>
      <c r="D9" s="505"/>
      <c r="E9" s="506"/>
      <c r="F9" s="495">
        <f>+(I10*F10+I11*F11)/I9</f>
        <v>448</v>
      </c>
      <c r="G9" s="572">
        <f t="shared" ref="G9:G14" si="0">+F9/365</f>
        <v>1.23</v>
      </c>
      <c r="H9" s="427">
        <f>+H10+H11</f>
        <v>290521605361.34998</v>
      </c>
      <c r="I9" s="427">
        <f>+I10+I11</f>
        <v>649293396.71000004</v>
      </c>
      <c r="J9" s="572">
        <f>+(I10*J10+I11*J11)/I9</f>
        <v>5.09</v>
      </c>
      <c r="K9" s="466"/>
      <c r="L9" s="465">
        <f>+L10+L11</f>
        <v>3302043442.2800002</v>
      </c>
      <c r="M9" s="464"/>
      <c r="N9" s="464"/>
    </row>
    <row r="10" spans="1:16" ht="24.95" hidden="1" customHeight="1" x14ac:dyDescent="0.25">
      <c r="B10" s="448" t="s">
        <v>590</v>
      </c>
      <c r="C10" s="507"/>
      <c r="D10" s="507"/>
      <c r="E10" s="506"/>
      <c r="F10" s="495">
        <f>+'SERV CONTABILIDAD'!F11</f>
        <v>453</v>
      </c>
      <c r="G10" s="572">
        <f t="shared" si="0"/>
        <v>1.24</v>
      </c>
      <c r="H10" s="427">
        <f>+'SERV CONTABILIDAD'!H11</f>
        <v>32429047762.599998</v>
      </c>
      <c r="I10" s="427">
        <f>+'SERV CONTABILIDAD'!I11</f>
        <v>71513095.239999995</v>
      </c>
      <c r="J10" s="572">
        <f>+L10/I10</f>
        <v>5.0599999999999996</v>
      </c>
      <c r="K10" s="131"/>
      <c r="L10" s="460">
        <f>+'SERV CONTABILIDAD'!L11</f>
        <v>362097750.00999999</v>
      </c>
      <c r="M10" s="464"/>
      <c r="N10" s="464"/>
    </row>
    <row r="11" spans="1:16" ht="24.95" hidden="1" customHeight="1" x14ac:dyDescent="0.25">
      <c r="B11" s="448" t="s">
        <v>589</v>
      </c>
      <c r="C11" s="503"/>
      <c r="D11" s="503"/>
      <c r="E11" s="495"/>
      <c r="F11" s="495">
        <f>+H11/I11</f>
        <v>447</v>
      </c>
      <c r="G11" s="572">
        <f t="shared" si="0"/>
        <v>1.22</v>
      </c>
      <c r="H11" s="427">
        <f>+H14+H29</f>
        <v>258092557598.75</v>
      </c>
      <c r="I11" s="427">
        <f>+I14+I29</f>
        <v>577780301.47000003</v>
      </c>
      <c r="J11" s="572">
        <f>+L11/I11</f>
        <v>5.09</v>
      </c>
      <c r="K11" s="131"/>
      <c r="L11" s="460">
        <f>+L14+L29</f>
        <v>2939945692.27</v>
      </c>
      <c r="M11" s="464"/>
      <c r="N11" s="464"/>
    </row>
    <row r="12" spans="1:16" ht="24.95" hidden="1" customHeight="1" x14ac:dyDescent="0.25">
      <c r="B12" s="448" t="s">
        <v>591</v>
      </c>
      <c r="C12" s="507"/>
      <c r="D12" s="507"/>
      <c r="E12" s="506"/>
      <c r="F12" s="495">
        <f>+H12/I12</f>
        <v>305</v>
      </c>
      <c r="G12" s="572">
        <f t="shared" si="0"/>
        <v>0.84</v>
      </c>
      <c r="H12" s="427">
        <f>+H71</f>
        <v>16353207362.6</v>
      </c>
      <c r="I12" s="427">
        <f>+I71</f>
        <v>53555301.240000002</v>
      </c>
      <c r="J12" s="572">
        <f>+L12/I12</f>
        <v>5.3</v>
      </c>
      <c r="K12" s="131"/>
      <c r="L12" s="465">
        <f>+L71</f>
        <v>284046713.19</v>
      </c>
      <c r="M12" s="464"/>
      <c r="N12" s="464"/>
    </row>
    <row r="13" spans="1:16" ht="24.95" hidden="1" customHeight="1" x14ac:dyDescent="0.25">
      <c r="B13" s="448" t="s">
        <v>593</v>
      </c>
      <c r="C13" s="507"/>
      <c r="D13" s="507"/>
      <c r="E13" s="506"/>
      <c r="F13" s="495">
        <f>+'SERV CONTABILIDAD'!F32</f>
        <v>559</v>
      </c>
      <c r="G13" s="572">
        <f t="shared" si="0"/>
        <v>1.53</v>
      </c>
      <c r="H13" s="427">
        <f>+'SERV CONTABILIDAD'!H32</f>
        <v>17708346205</v>
      </c>
      <c r="I13" s="427">
        <f>+'SERV CONTABILIDAD'!I32</f>
        <v>31696017</v>
      </c>
      <c r="J13" s="572">
        <f>+L13/I13</f>
        <v>6.1</v>
      </c>
      <c r="K13" s="131"/>
      <c r="L13" s="465">
        <f>+'SERV CONTABILIDAD'!L32</f>
        <v>193371902</v>
      </c>
      <c r="M13" s="464"/>
      <c r="N13" s="464"/>
    </row>
    <row r="14" spans="1:16" s="8" customFormat="1" ht="24.95" customHeight="1" x14ac:dyDescent="0.25">
      <c r="B14" s="558" t="s">
        <v>54</v>
      </c>
      <c r="C14" s="513"/>
      <c r="D14" s="513"/>
      <c r="E14" s="496"/>
      <c r="F14" s="495">
        <f>+H14/I14</f>
        <v>450</v>
      </c>
      <c r="G14" s="577">
        <f t="shared" si="0"/>
        <v>1.23</v>
      </c>
      <c r="H14" s="548">
        <f>SUM(H15:H26)</f>
        <v>249325682166.75</v>
      </c>
      <c r="I14" s="533">
        <f>SUM(I15:I26)</f>
        <v>553761464.66999996</v>
      </c>
      <c r="J14" s="578">
        <f>+L14/I14</f>
        <v>5.08</v>
      </c>
      <c r="K14" s="463"/>
      <c r="L14" s="457">
        <f>SUM(L15:L26)</f>
        <v>2812837235.6100001</v>
      </c>
      <c r="M14" s="6"/>
      <c r="N14" s="6"/>
      <c r="O14" s="6"/>
      <c r="P14" s="6"/>
    </row>
    <row r="15" spans="1:16" s="8" customFormat="1" ht="24.95" customHeight="1" x14ac:dyDescent="0.25">
      <c r="B15" s="314">
        <v>150000173561</v>
      </c>
      <c r="C15" s="516">
        <v>45504</v>
      </c>
      <c r="D15" s="517">
        <v>45505</v>
      </c>
      <c r="E15" s="527" t="s">
        <v>587</v>
      </c>
      <c r="F15" s="454">
        <v>1</v>
      </c>
      <c r="G15" s="454"/>
      <c r="H15" s="540">
        <f>+F15*I15</f>
        <v>19677682.91</v>
      </c>
      <c r="I15" s="423">
        <v>19677682.91</v>
      </c>
      <c r="J15" s="684">
        <v>3.3</v>
      </c>
      <c r="K15" s="131"/>
      <c r="L15" s="4">
        <f>+I15*J15</f>
        <v>64936353.600000001</v>
      </c>
      <c r="M15" s="6"/>
      <c r="N15" s="6"/>
      <c r="O15" s="6"/>
      <c r="P15" s="6"/>
    </row>
    <row r="16" spans="1:16" s="8" customFormat="1" ht="24.95" customHeight="1" x14ac:dyDescent="0.25">
      <c r="B16" s="314">
        <v>150000173570</v>
      </c>
      <c r="C16" s="516">
        <v>45504</v>
      </c>
      <c r="D16" s="517">
        <v>45505</v>
      </c>
      <c r="E16" s="527" t="s">
        <v>587</v>
      </c>
      <c r="F16" s="454">
        <v>1</v>
      </c>
      <c r="G16" s="516"/>
      <c r="H16" s="540">
        <f>+F16*I16</f>
        <v>8335466.4900000002</v>
      </c>
      <c r="I16" s="423">
        <v>8335466.4900000002</v>
      </c>
      <c r="J16" s="684">
        <v>3.3</v>
      </c>
      <c r="K16" s="131"/>
      <c r="L16" s="4">
        <f t="shared" ref="L16:L26" si="1">+I16*J16</f>
        <v>27507039.420000002</v>
      </c>
      <c r="M16" s="6"/>
      <c r="N16" s="6"/>
      <c r="O16" s="6"/>
      <c r="P16" s="6"/>
    </row>
    <row r="17" spans="1:21" s="8" customFormat="1" ht="24.95" customHeight="1" x14ac:dyDescent="0.25">
      <c r="B17" s="314">
        <v>11000093698</v>
      </c>
      <c r="C17" s="516">
        <v>45490</v>
      </c>
      <c r="D17" s="517">
        <v>45670</v>
      </c>
      <c r="E17" s="527" t="s">
        <v>530</v>
      </c>
      <c r="F17" s="454">
        <v>180</v>
      </c>
      <c r="G17" s="516"/>
      <c r="H17" s="540">
        <f t="shared" ref="H17:H26" si="2">+F17*I17</f>
        <v>4700260661.3999996</v>
      </c>
      <c r="I17" s="423">
        <v>26112559.23</v>
      </c>
      <c r="J17" s="684">
        <v>5</v>
      </c>
      <c r="K17" s="131"/>
      <c r="L17" s="4">
        <f t="shared" si="1"/>
        <v>130562796.15000001</v>
      </c>
      <c r="M17" s="6"/>
      <c r="N17" s="6"/>
      <c r="O17" s="6"/>
      <c r="P17" s="6"/>
    </row>
    <row r="18" spans="1:21" s="8" customFormat="1" ht="24.95" customHeight="1" x14ac:dyDescent="0.25">
      <c r="B18" s="314">
        <v>110000093704</v>
      </c>
      <c r="C18" s="516">
        <v>45490</v>
      </c>
      <c r="D18" s="517">
        <v>45670</v>
      </c>
      <c r="E18" s="527" t="s">
        <v>530</v>
      </c>
      <c r="F18" s="454">
        <v>180</v>
      </c>
      <c r="G18" s="516"/>
      <c r="H18" s="540">
        <f t="shared" si="2"/>
        <v>1727410109.4000001</v>
      </c>
      <c r="I18" s="423">
        <v>9596722.8300000001</v>
      </c>
      <c r="J18" s="684">
        <v>5</v>
      </c>
      <c r="K18" s="131"/>
      <c r="L18" s="4">
        <f t="shared" si="1"/>
        <v>47983614.149999999</v>
      </c>
      <c r="M18" s="6"/>
      <c r="N18" s="6"/>
      <c r="O18" s="6"/>
      <c r="P18" s="6"/>
    </row>
    <row r="19" spans="1:21" s="10" customFormat="1" ht="24.95" customHeight="1" x14ac:dyDescent="0.25">
      <c r="B19" s="529">
        <v>110000060042</v>
      </c>
      <c r="C19" s="518">
        <v>43192</v>
      </c>
      <c r="D19" s="518">
        <v>45749</v>
      </c>
      <c r="E19" s="546" t="s">
        <v>5</v>
      </c>
      <c r="F19" s="454">
        <f>7*365</f>
        <v>2555</v>
      </c>
      <c r="G19" s="519"/>
      <c r="H19" s="540">
        <f t="shared" si="2"/>
        <v>36314215000</v>
      </c>
      <c r="I19" s="423">
        <v>14213000</v>
      </c>
      <c r="J19" s="685">
        <v>3.2</v>
      </c>
      <c r="K19" s="351" t="s">
        <v>140</v>
      </c>
      <c r="L19" s="4">
        <f t="shared" si="1"/>
        <v>45481600</v>
      </c>
      <c r="Q19" s="4"/>
      <c r="R19" s="4"/>
      <c r="S19" s="4"/>
      <c r="T19" s="4"/>
      <c r="U19" s="4"/>
    </row>
    <row r="20" spans="1:21" s="8" customFormat="1" ht="24.95" customHeight="1" x14ac:dyDescent="0.25">
      <c r="B20" s="314">
        <v>110000093590</v>
      </c>
      <c r="C20" s="516">
        <v>45490</v>
      </c>
      <c r="D20" s="517">
        <v>45855</v>
      </c>
      <c r="E20" s="527" t="s">
        <v>444</v>
      </c>
      <c r="F20" s="454">
        <v>365</v>
      </c>
      <c r="G20" s="516"/>
      <c r="H20" s="540">
        <f t="shared" si="2"/>
        <v>69277016508.949997</v>
      </c>
      <c r="I20" s="423">
        <v>189800045.22999999</v>
      </c>
      <c r="J20" s="684">
        <v>5.3</v>
      </c>
      <c r="K20" s="131"/>
      <c r="L20" s="4">
        <f t="shared" si="1"/>
        <v>1005940239.72</v>
      </c>
      <c r="M20" s="6"/>
      <c r="N20" s="6"/>
      <c r="O20" s="6"/>
      <c r="P20" s="6"/>
    </row>
    <row r="21" spans="1:21" s="8" customFormat="1" ht="24.95" customHeight="1" x14ac:dyDescent="0.25">
      <c r="B21" s="314">
        <v>110000093605</v>
      </c>
      <c r="C21" s="516">
        <v>45490</v>
      </c>
      <c r="D21" s="517">
        <v>45855</v>
      </c>
      <c r="E21" s="527" t="s">
        <v>444</v>
      </c>
      <c r="F21" s="454">
        <v>365</v>
      </c>
      <c r="G21" s="516"/>
      <c r="H21" s="540">
        <f t="shared" si="2"/>
        <v>77409326487.100006</v>
      </c>
      <c r="I21" s="423">
        <v>212080346.53999999</v>
      </c>
      <c r="J21" s="684">
        <v>5.3</v>
      </c>
      <c r="K21" s="131"/>
      <c r="L21" s="4">
        <f t="shared" si="1"/>
        <v>1124025836.6600001</v>
      </c>
      <c r="M21" s="6"/>
      <c r="N21" s="6"/>
      <c r="O21" s="6"/>
      <c r="P21" s="6"/>
    </row>
    <row r="22" spans="1:21" s="10" customFormat="1" ht="24.95" customHeight="1" x14ac:dyDescent="0.25">
      <c r="B22" s="529">
        <v>110000093375</v>
      </c>
      <c r="C22" s="518">
        <v>45482</v>
      </c>
      <c r="D22" s="518">
        <v>45847</v>
      </c>
      <c r="E22" s="546" t="s">
        <v>444</v>
      </c>
      <c r="F22" s="454">
        <v>365</v>
      </c>
      <c r="G22" s="519"/>
      <c r="H22" s="540">
        <f t="shared" si="2"/>
        <v>9226245583.3999996</v>
      </c>
      <c r="I22" s="423">
        <v>25277385.16</v>
      </c>
      <c r="J22" s="685">
        <v>5.3</v>
      </c>
      <c r="K22" s="351"/>
      <c r="L22" s="4">
        <f t="shared" si="1"/>
        <v>133970141.34999999</v>
      </c>
      <c r="Q22" s="4"/>
      <c r="R22" s="4"/>
      <c r="S22" s="4"/>
      <c r="T22" s="4"/>
      <c r="U22" s="4"/>
    </row>
    <row r="23" spans="1:21" s="10" customFormat="1" ht="24.95" customHeight="1" x14ac:dyDescent="0.25">
      <c r="B23" s="529">
        <v>110000093393</v>
      </c>
      <c r="C23" s="518">
        <v>45482</v>
      </c>
      <c r="D23" s="518">
        <v>45847</v>
      </c>
      <c r="E23" s="546" t="s">
        <v>444</v>
      </c>
      <c r="F23" s="454">
        <v>365</v>
      </c>
      <c r="G23" s="519"/>
      <c r="H23" s="540">
        <f t="shared" si="2"/>
        <v>3650000000</v>
      </c>
      <c r="I23" s="423">
        <v>10000000</v>
      </c>
      <c r="J23" s="685">
        <v>5.3</v>
      </c>
      <c r="K23" s="351"/>
      <c r="L23" s="4">
        <f t="shared" si="1"/>
        <v>53000000</v>
      </c>
      <c r="Q23" s="4"/>
      <c r="R23" s="4"/>
      <c r="S23" s="4"/>
      <c r="T23" s="4"/>
      <c r="U23" s="4"/>
    </row>
    <row r="24" spans="1:21" s="10" customFormat="1" ht="24.95" customHeight="1" x14ac:dyDescent="0.25">
      <c r="B24" s="529">
        <v>110000093400</v>
      </c>
      <c r="C24" s="518">
        <v>45482</v>
      </c>
      <c r="D24" s="518">
        <v>45847</v>
      </c>
      <c r="E24" s="546" t="s">
        <v>444</v>
      </c>
      <c r="F24" s="454">
        <v>365</v>
      </c>
      <c r="G24" s="519"/>
      <c r="H24" s="540">
        <f t="shared" si="2"/>
        <v>9200694795</v>
      </c>
      <c r="I24" s="423">
        <v>25207383</v>
      </c>
      <c r="J24" s="685">
        <v>5.3</v>
      </c>
      <c r="K24" s="351"/>
      <c r="L24" s="4">
        <f t="shared" si="1"/>
        <v>133599129.90000001</v>
      </c>
      <c r="Q24" s="4"/>
      <c r="R24" s="4"/>
      <c r="S24" s="4"/>
      <c r="T24" s="4"/>
      <c r="U24" s="4"/>
    </row>
    <row r="25" spans="1:21" s="3" customFormat="1" ht="24.95" customHeight="1" x14ac:dyDescent="0.25">
      <c r="A25" s="13"/>
      <c r="B25" s="442">
        <v>110000055015</v>
      </c>
      <c r="C25" s="518">
        <v>42964</v>
      </c>
      <c r="D25" s="518">
        <v>45887</v>
      </c>
      <c r="E25" s="546" t="s">
        <v>47</v>
      </c>
      <c r="F25" s="454">
        <f>8*365</f>
        <v>2920</v>
      </c>
      <c r="G25" s="519"/>
      <c r="H25" s="540">
        <f t="shared" si="2"/>
        <v>36884549808.800003</v>
      </c>
      <c r="I25" s="423">
        <v>12631695.140000001</v>
      </c>
      <c r="J25" s="685">
        <v>3.3</v>
      </c>
      <c r="K25" s="351" t="s">
        <v>140</v>
      </c>
      <c r="L25" s="4">
        <f t="shared" si="1"/>
        <v>41684593.960000001</v>
      </c>
      <c r="M25" s="1"/>
      <c r="N25" s="1"/>
      <c r="O25" s="1"/>
      <c r="P25" s="1"/>
    </row>
    <row r="26" spans="1:21" s="8" customFormat="1" ht="24.95" customHeight="1" x14ac:dyDescent="0.25">
      <c r="B26" s="314">
        <v>110000083996</v>
      </c>
      <c r="C26" s="516">
        <v>44902</v>
      </c>
      <c r="D26" s="517">
        <v>46000</v>
      </c>
      <c r="E26" s="527" t="s">
        <v>9</v>
      </c>
      <c r="F26" s="454">
        <f>3*365</f>
        <v>1095</v>
      </c>
      <c r="G26" s="516"/>
      <c r="H26" s="540">
        <f t="shared" si="2"/>
        <v>907950063.29999995</v>
      </c>
      <c r="I26" s="423">
        <f>860236.66-12611.46-2917.8-12611.46-2917.8</f>
        <v>829178.14</v>
      </c>
      <c r="J26" s="684">
        <v>5</v>
      </c>
      <c r="K26" s="323" t="s">
        <v>140</v>
      </c>
      <c r="L26" s="4">
        <f t="shared" si="1"/>
        <v>4145890.7</v>
      </c>
      <c r="M26" s="20"/>
      <c r="N26" s="20"/>
      <c r="O26" s="20"/>
      <c r="P26" s="20"/>
      <c r="Q26" s="20"/>
    </row>
    <row r="27" spans="1:21" s="8" customFormat="1" ht="12" customHeight="1" x14ac:dyDescent="0.25">
      <c r="B27" s="314"/>
      <c r="C27" s="516"/>
      <c r="D27" s="517"/>
      <c r="E27" s="497"/>
      <c r="F27" s="454"/>
      <c r="G27" s="516"/>
      <c r="H27" s="547"/>
      <c r="I27" s="532"/>
      <c r="J27" s="684"/>
      <c r="K27" s="313"/>
      <c r="L27" s="20"/>
      <c r="M27" s="20"/>
      <c r="N27" s="20"/>
      <c r="O27" s="20"/>
      <c r="P27" s="20"/>
      <c r="Q27" s="20"/>
    </row>
    <row r="28" spans="1:21" s="8" customFormat="1" ht="24.95" customHeight="1" x14ac:dyDescent="0.25">
      <c r="B28" s="558" t="s">
        <v>54</v>
      </c>
      <c r="C28" s="516"/>
      <c r="D28" s="516"/>
      <c r="E28" s="498"/>
      <c r="F28" s="454"/>
      <c r="G28" s="577"/>
      <c r="H28" s="540"/>
      <c r="I28" s="532"/>
      <c r="J28" s="686"/>
      <c r="K28" s="313"/>
      <c r="L28" s="4"/>
      <c r="M28" s="6"/>
      <c r="N28" s="6"/>
      <c r="O28" s="6"/>
      <c r="P28" s="6"/>
    </row>
    <row r="29" spans="1:21" s="17" customFormat="1" ht="24.95" customHeight="1" x14ac:dyDescent="0.25">
      <c r="B29" s="561" t="s">
        <v>354</v>
      </c>
      <c r="C29" s="530"/>
      <c r="D29" s="530"/>
      <c r="E29" s="525"/>
      <c r="F29" s="469">
        <f>+H29/I29</f>
        <v>365</v>
      </c>
      <c r="G29" s="562">
        <f>+F29/365</f>
        <v>1</v>
      </c>
      <c r="H29" s="548">
        <f>+H31+H42+H52+H59+H66</f>
        <v>8766875432</v>
      </c>
      <c r="I29" s="533">
        <f>+I31+I42+I52+I59+I66</f>
        <v>24018836.800000001</v>
      </c>
      <c r="J29" s="687">
        <f>+L29/I29</f>
        <v>5.29</v>
      </c>
      <c r="K29" s="179"/>
      <c r="L29" s="460">
        <f>+L31+L42+L52+L59+L66</f>
        <v>127108456.66</v>
      </c>
      <c r="M29" s="27"/>
      <c r="N29" s="27"/>
      <c r="O29" s="27"/>
      <c r="P29" s="27"/>
    </row>
    <row r="30" spans="1:21" s="17" customFormat="1" ht="8.25" customHeight="1" x14ac:dyDescent="0.25">
      <c r="B30" s="508"/>
      <c r="C30" s="531"/>
      <c r="D30" s="531"/>
      <c r="E30" s="499"/>
      <c r="F30" s="454"/>
      <c r="G30" s="531"/>
      <c r="H30" s="547"/>
      <c r="I30" s="533"/>
      <c r="J30" s="688"/>
      <c r="K30" s="179"/>
      <c r="L30" s="455"/>
      <c r="M30" s="27"/>
      <c r="N30" s="27"/>
      <c r="O30" s="27"/>
      <c r="P30" s="27"/>
    </row>
    <row r="31" spans="1:21" s="10" customFormat="1" ht="36.75" customHeight="1" x14ac:dyDescent="0.25">
      <c r="B31" s="556" t="s">
        <v>212</v>
      </c>
      <c r="C31" s="530"/>
      <c r="D31" s="525"/>
      <c r="E31" s="525"/>
      <c r="F31" s="454"/>
      <c r="G31" s="531"/>
      <c r="H31" s="548">
        <f>SUM(H32,H35,H38,H40)</f>
        <v>2043434739.0999999</v>
      </c>
      <c r="I31" s="427">
        <f>SUM(I32,I35,I38,I40)</f>
        <v>5598451.3399999999</v>
      </c>
      <c r="J31" s="689">
        <f>+L31/I31</f>
        <v>5.3</v>
      </c>
      <c r="K31" s="458"/>
      <c r="L31" s="6">
        <f>SUM(L32,L35,L38,L40)</f>
        <v>29671792.100000001</v>
      </c>
      <c r="M31" s="4"/>
      <c r="N31" s="4"/>
      <c r="O31" s="4"/>
      <c r="P31" s="4"/>
    </row>
    <row r="32" spans="1:21" s="10" customFormat="1" ht="24.95" customHeight="1" x14ac:dyDescent="0.25">
      <c r="B32" s="188" t="s">
        <v>7</v>
      </c>
      <c r="C32" s="513"/>
      <c r="D32" s="528"/>
      <c r="E32" s="497"/>
      <c r="F32" s="469">
        <f>+H32/I32</f>
        <v>365</v>
      </c>
      <c r="G32" s="470">
        <f>+F32/365</f>
        <v>1</v>
      </c>
      <c r="H32" s="548">
        <f>SUM(H33:H34)</f>
        <v>243482864.09999999</v>
      </c>
      <c r="I32" s="427">
        <f>SUM(I33:I34)</f>
        <v>667076.34</v>
      </c>
      <c r="J32" s="689">
        <f>+L32/I32</f>
        <v>5.3</v>
      </c>
      <c r="K32" s="313"/>
      <c r="L32" s="6">
        <f>SUM(L33:L34)</f>
        <v>3535504.6</v>
      </c>
      <c r="M32" s="4"/>
      <c r="N32" s="4"/>
      <c r="O32" s="4"/>
      <c r="P32" s="4"/>
    </row>
    <row r="33" spans="2:21" s="10" customFormat="1" ht="24.95" customHeight="1" x14ac:dyDescent="0.25">
      <c r="B33" s="529">
        <v>11000093615</v>
      </c>
      <c r="C33" s="519">
        <v>45490</v>
      </c>
      <c r="D33" s="526">
        <v>45855</v>
      </c>
      <c r="E33" s="527" t="s">
        <v>444</v>
      </c>
      <c r="F33" s="454">
        <v>365</v>
      </c>
      <c r="G33" s="516"/>
      <c r="H33" s="540">
        <f t="shared" ref="H33:H41" si="3">+F33*I33</f>
        <v>33983930.899999999</v>
      </c>
      <c r="I33" s="423">
        <v>93106.66</v>
      </c>
      <c r="J33" s="690">
        <v>5.3</v>
      </c>
      <c r="K33" s="313"/>
      <c r="L33" s="4">
        <f t="shared" ref="L33:L41" si="4">+I33*J33</f>
        <v>493465.3</v>
      </c>
      <c r="M33" s="4"/>
      <c r="N33" s="4"/>
      <c r="O33" s="4"/>
      <c r="P33" s="4"/>
    </row>
    <row r="34" spans="2:21" s="10" customFormat="1" ht="24.95" customHeight="1" x14ac:dyDescent="0.25">
      <c r="B34" s="529">
        <v>110000093624</v>
      </c>
      <c r="C34" s="519">
        <v>45490</v>
      </c>
      <c r="D34" s="517">
        <v>45855</v>
      </c>
      <c r="E34" s="527" t="s">
        <v>444</v>
      </c>
      <c r="F34" s="454">
        <v>365</v>
      </c>
      <c r="G34" s="516"/>
      <c r="H34" s="540">
        <f t="shared" si="3"/>
        <v>209498933.19999999</v>
      </c>
      <c r="I34" s="423">
        <v>573969.68000000005</v>
      </c>
      <c r="J34" s="690">
        <v>5.3</v>
      </c>
      <c r="K34" s="313"/>
      <c r="L34" s="4">
        <f t="shared" si="4"/>
        <v>3042039.3</v>
      </c>
      <c r="M34" s="4"/>
      <c r="N34" s="4"/>
      <c r="O34" s="4"/>
      <c r="P34" s="4"/>
    </row>
    <row r="35" spans="2:21" s="10" customFormat="1" ht="24.95" customHeight="1" x14ac:dyDescent="0.25">
      <c r="B35" s="521" t="s">
        <v>10</v>
      </c>
      <c r="C35" s="520"/>
      <c r="D35" s="520"/>
      <c r="E35" s="546"/>
      <c r="F35" s="469">
        <f>+H35/I35</f>
        <v>365</v>
      </c>
      <c r="G35" s="470">
        <f>+F35/365</f>
        <v>1</v>
      </c>
      <c r="H35" s="548">
        <f>SUM(H36:H37)</f>
        <v>1736083842.8499999</v>
      </c>
      <c r="I35" s="427">
        <f>SUM(I36:I37)</f>
        <v>4756394.09</v>
      </c>
      <c r="J35" s="689">
        <f>+L35/I35</f>
        <v>5.3</v>
      </c>
      <c r="K35" s="313"/>
      <c r="L35" s="6">
        <f>SUM(L36:L37)</f>
        <v>25208888.670000002</v>
      </c>
      <c r="M35" s="4"/>
      <c r="N35" s="4"/>
      <c r="O35" s="4"/>
      <c r="P35" s="4"/>
    </row>
    <row r="36" spans="2:21" s="10" customFormat="1" ht="24.95" customHeight="1" x14ac:dyDescent="0.25">
      <c r="B36" s="529">
        <v>110000093633</v>
      </c>
      <c r="C36" s="519">
        <v>45490</v>
      </c>
      <c r="D36" s="517">
        <v>45855</v>
      </c>
      <c r="E36" s="527" t="s">
        <v>444</v>
      </c>
      <c r="F36" s="454">
        <v>365</v>
      </c>
      <c r="G36" s="516"/>
      <c r="H36" s="540">
        <f t="shared" si="3"/>
        <v>597426225.70000005</v>
      </c>
      <c r="I36" s="423">
        <v>1636784.18</v>
      </c>
      <c r="J36" s="690">
        <v>5.3</v>
      </c>
      <c r="K36" s="313"/>
      <c r="L36" s="4">
        <f t="shared" si="4"/>
        <v>8674956.1500000004</v>
      </c>
      <c r="M36" s="4"/>
      <c r="N36" s="4"/>
      <c r="O36" s="4"/>
      <c r="P36" s="4"/>
    </row>
    <row r="37" spans="2:21" s="10" customFormat="1" ht="24.95" customHeight="1" x14ac:dyDescent="0.25">
      <c r="B37" s="529">
        <v>110000093642</v>
      </c>
      <c r="C37" s="519">
        <v>45490</v>
      </c>
      <c r="D37" s="517">
        <v>45855</v>
      </c>
      <c r="E37" s="527" t="s">
        <v>444</v>
      </c>
      <c r="F37" s="454">
        <v>365</v>
      </c>
      <c r="G37" s="516"/>
      <c r="H37" s="540">
        <f t="shared" si="3"/>
        <v>1138657617.1500001</v>
      </c>
      <c r="I37" s="423">
        <v>3119609.91</v>
      </c>
      <c r="J37" s="690">
        <v>5.3</v>
      </c>
      <c r="K37" s="313"/>
      <c r="L37" s="4">
        <f t="shared" si="4"/>
        <v>16533932.52</v>
      </c>
      <c r="M37" s="4"/>
      <c r="N37" s="4"/>
      <c r="O37" s="4"/>
      <c r="P37" s="4"/>
    </row>
    <row r="38" spans="2:21" s="10" customFormat="1" ht="24.95" customHeight="1" x14ac:dyDescent="0.25">
      <c r="B38" s="521" t="s">
        <v>11</v>
      </c>
      <c r="C38" s="520"/>
      <c r="D38" s="520"/>
      <c r="E38" s="498"/>
      <c r="F38" s="469">
        <f>+H38/I38</f>
        <v>365</v>
      </c>
      <c r="G38" s="470">
        <f>+F38/365</f>
        <v>1</v>
      </c>
      <c r="H38" s="548">
        <f>SUM(H39)</f>
        <v>8240367.75</v>
      </c>
      <c r="I38" s="427">
        <f>SUM(I39:I39)</f>
        <v>22576.35</v>
      </c>
      <c r="J38" s="689">
        <f>+L38/I38</f>
        <v>5.3</v>
      </c>
      <c r="K38" s="313"/>
      <c r="L38" s="6">
        <f>SUM(L39)</f>
        <v>119654.66</v>
      </c>
      <c r="M38" s="4"/>
      <c r="N38" s="4"/>
      <c r="O38" s="4"/>
      <c r="P38" s="4"/>
    </row>
    <row r="39" spans="2:21" s="10" customFormat="1" ht="24.95" customHeight="1" x14ac:dyDescent="0.25">
      <c r="B39" s="442">
        <v>110000093651</v>
      </c>
      <c r="C39" s="519">
        <v>45490</v>
      </c>
      <c r="D39" s="517">
        <v>45855</v>
      </c>
      <c r="E39" s="527" t="s">
        <v>444</v>
      </c>
      <c r="F39" s="454">
        <v>365</v>
      </c>
      <c r="G39" s="516"/>
      <c r="H39" s="540">
        <f t="shared" si="3"/>
        <v>8240367.75</v>
      </c>
      <c r="I39" s="423">
        <v>22576.35</v>
      </c>
      <c r="J39" s="690">
        <v>5.3</v>
      </c>
      <c r="K39" s="313"/>
      <c r="L39" s="4">
        <f t="shared" si="4"/>
        <v>119654.66</v>
      </c>
      <c r="M39" s="4"/>
      <c r="N39" s="4"/>
      <c r="O39" s="4"/>
      <c r="P39" s="4"/>
    </row>
    <row r="40" spans="2:21" s="10" customFormat="1" ht="39.75" customHeight="1" x14ac:dyDescent="0.25">
      <c r="B40" s="557" t="s">
        <v>532</v>
      </c>
      <c r="C40" s="520"/>
      <c r="D40" s="520"/>
      <c r="E40" s="498"/>
      <c r="F40" s="469">
        <f>+H40/I40</f>
        <v>365</v>
      </c>
      <c r="G40" s="470">
        <f>+F40/365</f>
        <v>1</v>
      </c>
      <c r="H40" s="548">
        <f>SUM(H41)</f>
        <v>55627664.399999999</v>
      </c>
      <c r="I40" s="427">
        <f>SUM(I41:I41)</f>
        <v>152404.56</v>
      </c>
      <c r="J40" s="689">
        <f>+L40/I40</f>
        <v>5.3</v>
      </c>
      <c r="K40" s="313"/>
      <c r="L40" s="6">
        <f>SUM(L41)</f>
        <v>807744.17</v>
      </c>
      <c r="M40" s="4"/>
      <c r="N40" s="4"/>
      <c r="O40" s="4"/>
      <c r="P40" s="4"/>
    </row>
    <row r="41" spans="2:21" s="10" customFormat="1" ht="24.95" customHeight="1" x14ac:dyDescent="0.25">
      <c r="B41" s="529">
        <v>110000093366</v>
      </c>
      <c r="C41" s="518">
        <v>45482</v>
      </c>
      <c r="D41" s="518">
        <v>45847</v>
      </c>
      <c r="E41" s="546" t="s">
        <v>444</v>
      </c>
      <c r="F41" s="454">
        <v>365</v>
      </c>
      <c r="G41" s="519"/>
      <c r="H41" s="540">
        <f t="shared" si="3"/>
        <v>55627664.399999999</v>
      </c>
      <c r="I41" s="423">
        <v>152404.56</v>
      </c>
      <c r="J41" s="685">
        <v>5.3</v>
      </c>
      <c r="K41" s="351"/>
      <c r="L41" s="4">
        <f t="shared" si="4"/>
        <v>807744.17</v>
      </c>
      <c r="Q41" s="4"/>
      <c r="R41" s="4"/>
      <c r="S41" s="4"/>
      <c r="T41" s="4"/>
      <c r="U41" s="4"/>
    </row>
    <row r="42" spans="2:21" s="10" customFormat="1" ht="24.95" customHeight="1" x14ac:dyDescent="0.25">
      <c r="B42" s="524" t="s">
        <v>355</v>
      </c>
      <c r="C42" s="530"/>
      <c r="D42" s="530"/>
      <c r="E42" s="525"/>
      <c r="F42" s="469">
        <f>+H42/I42</f>
        <v>365</v>
      </c>
      <c r="G42" s="470"/>
      <c r="H42" s="549">
        <f>SUM(H43,H47,H45)</f>
        <v>1908935892.75</v>
      </c>
      <c r="I42" s="522">
        <f>SUM(I43,I47,I45)</f>
        <v>5229961.3499999996</v>
      </c>
      <c r="J42" s="689">
        <f>+L42/I42</f>
        <v>5.29</v>
      </c>
      <c r="K42" s="179"/>
      <c r="L42" s="384">
        <f>SUM(L43,L47,L45)</f>
        <v>27647939.23</v>
      </c>
      <c r="M42" s="4"/>
      <c r="N42" s="4"/>
      <c r="O42" s="4"/>
      <c r="P42" s="4"/>
    </row>
    <row r="43" spans="2:21" s="8" customFormat="1" ht="24.95" customHeight="1" x14ac:dyDescent="0.25">
      <c r="B43" s="188" t="s">
        <v>54</v>
      </c>
      <c r="C43" s="543"/>
      <c r="D43" s="543"/>
      <c r="E43" s="498"/>
      <c r="F43" s="469">
        <f>+H43/I43</f>
        <v>365</v>
      </c>
      <c r="G43" s="470">
        <f>+F43/365</f>
        <v>1</v>
      </c>
      <c r="H43" s="548">
        <f>SUM(H44)</f>
        <v>71165604.900000006</v>
      </c>
      <c r="I43" s="522">
        <f>SUM(I44)</f>
        <v>194974.26</v>
      </c>
      <c r="J43" s="689">
        <f>+L43/I43</f>
        <v>5</v>
      </c>
      <c r="K43" s="179"/>
      <c r="L43" s="6">
        <f>SUM(L44)</f>
        <v>974871.3</v>
      </c>
      <c r="M43" s="6"/>
      <c r="N43" s="6"/>
      <c r="O43" s="6"/>
      <c r="P43" s="6"/>
    </row>
    <row r="44" spans="2:21" s="10" customFormat="1" ht="24.95" customHeight="1" x14ac:dyDescent="0.25">
      <c r="B44" s="314">
        <v>110000091058</v>
      </c>
      <c r="C44" s="516">
        <v>45397</v>
      </c>
      <c r="D44" s="517">
        <v>45763</v>
      </c>
      <c r="E44" s="527" t="s">
        <v>444</v>
      </c>
      <c r="F44" s="454">
        <v>365</v>
      </c>
      <c r="G44" s="516"/>
      <c r="H44" s="540">
        <f t="shared" ref="H44:H50" si="5">+F44*I44</f>
        <v>71165604.900000006</v>
      </c>
      <c r="I44" s="423">
        <v>194974.26</v>
      </c>
      <c r="J44" s="684">
        <v>5</v>
      </c>
      <c r="K44" s="324"/>
      <c r="L44" s="4">
        <f t="shared" ref="L44:L50" si="6">+I44*J44</f>
        <v>974871.3</v>
      </c>
      <c r="M44" s="4"/>
      <c r="N44" s="4"/>
      <c r="O44" s="4"/>
      <c r="P44" s="4"/>
    </row>
    <row r="45" spans="2:21" s="10" customFormat="1" ht="35.25" customHeight="1" x14ac:dyDescent="0.25">
      <c r="B45" s="557" t="s">
        <v>533</v>
      </c>
      <c r="C45" s="516"/>
      <c r="D45" s="516"/>
      <c r="E45" s="498"/>
      <c r="F45" s="469">
        <f>+H45/I45</f>
        <v>365</v>
      </c>
      <c r="G45" s="470">
        <f>+F45/365</f>
        <v>1</v>
      </c>
      <c r="H45" s="548">
        <f>SUM(H46)</f>
        <v>15042442.050000001</v>
      </c>
      <c r="I45" s="533">
        <f>SUM(I46)</f>
        <v>41212.17</v>
      </c>
      <c r="J45" s="689">
        <f>+L45/I45</f>
        <v>5</v>
      </c>
      <c r="K45" s="174"/>
      <c r="L45" s="6">
        <f>SUM(L46)</f>
        <v>206060.85</v>
      </c>
      <c r="M45" s="4"/>
      <c r="N45" s="4"/>
      <c r="O45" s="4"/>
      <c r="P45" s="4"/>
    </row>
    <row r="46" spans="2:21" s="10" customFormat="1" ht="24.95" customHeight="1" x14ac:dyDescent="0.25">
      <c r="B46" s="314">
        <v>110000093357</v>
      </c>
      <c r="C46" s="516">
        <v>45482</v>
      </c>
      <c r="D46" s="517">
        <v>45847</v>
      </c>
      <c r="E46" s="527" t="s">
        <v>444</v>
      </c>
      <c r="F46" s="454">
        <v>365</v>
      </c>
      <c r="G46" s="516"/>
      <c r="H46" s="540">
        <f t="shared" si="5"/>
        <v>15042442.050000001</v>
      </c>
      <c r="I46" s="423">
        <v>41212.17</v>
      </c>
      <c r="J46" s="684">
        <v>5</v>
      </c>
      <c r="K46" s="174"/>
      <c r="L46" s="4">
        <f t="shared" si="6"/>
        <v>206060.85</v>
      </c>
      <c r="M46" s="4"/>
      <c r="N46" s="4"/>
      <c r="O46" s="4"/>
      <c r="P46" s="4"/>
    </row>
    <row r="47" spans="2:21" s="10" customFormat="1" ht="24.95" customHeight="1" x14ac:dyDescent="0.25">
      <c r="B47" s="500" t="s">
        <v>393</v>
      </c>
      <c r="C47" s="516"/>
      <c r="D47" s="516"/>
      <c r="E47" s="498"/>
      <c r="F47" s="469">
        <f>+H47/I47</f>
        <v>365</v>
      </c>
      <c r="G47" s="470">
        <f>+F47/365</f>
        <v>1</v>
      </c>
      <c r="H47" s="548">
        <f>SUM(H48:H50)</f>
        <v>1822727845.8</v>
      </c>
      <c r="I47" s="533">
        <f>SUM(I48:I50)</f>
        <v>4993774.92</v>
      </c>
      <c r="J47" s="689">
        <f>+L47/I47</f>
        <v>5.3</v>
      </c>
      <c r="K47" s="174"/>
      <c r="L47" s="6">
        <f>SUM(L48:L50)</f>
        <v>26467007.079999998</v>
      </c>
      <c r="M47" s="4"/>
      <c r="N47" s="4"/>
      <c r="O47" s="4"/>
      <c r="P47" s="4"/>
    </row>
    <row r="48" spans="2:21" s="10" customFormat="1" ht="24.95" customHeight="1" x14ac:dyDescent="0.25">
      <c r="B48" s="314">
        <v>110000093660</v>
      </c>
      <c r="C48" s="516">
        <v>45490</v>
      </c>
      <c r="D48" s="516">
        <v>45855</v>
      </c>
      <c r="E48" s="546" t="s">
        <v>444</v>
      </c>
      <c r="F48" s="454">
        <v>365</v>
      </c>
      <c r="G48" s="519"/>
      <c r="H48" s="540">
        <f t="shared" si="5"/>
        <v>388520464.94999999</v>
      </c>
      <c r="I48" s="423">
        <v>1064439.6299999999</v>
      </c>
      <c r="J48" s="690">
        <v>5.3</v>
      </c>
      <c r="K48" s="174"/>
      <c r="L48" s="4">
        <f t="shared" si="6"/>
        <v>5641530.04</v>
      </c>
      <c r="M48" s="4"/>
      <c r="N48" s="4"/>
      <c r="O48" s="4"/>
      <c r="P48" s="4"/>
    </row>
    <row r="49" spans="1:16" s="10" customFormat="1" ht="24.95" customHeight="1" x14ac:dyDescent="0.25">
      <c r="B49" s="314">
        <v>110000093670</v>
      </c>
      <c r="C49" s="516">
        <v>45490</v>
      </c>
      <c r="D49" s="516">
        <v>45855</v>
      </c>
      <c r="E49" s="546" t="s">
        <v>444</v>
      </c>
      <c r="F49" s="454">
        <v>365</v>
      </c>
      <c r="G49" s="519"/>
      <c r="H49" s="540">
        <f t="shared" si="5"/>
        <v>1412692733.25</v>
      </c>
      <c r="I49" s="423">
        <v>3870391.05</v>
      </c>
      <c r="J49" s="690">
        <v>5.3</v>
      </c>
      <c r="K49" s="174"/>
      <c r="L49" s="4">
        <f t="shared" si="6"/>
        <v>20513072.57</v>
      </c>
      <c r="M49" s="4"/>
      <c r="N49" s="4"/>
      <c r="O49" s="4"/>
      <c r="P49" s="4"/>
    </row>
    <row r="50" spans="1:16" s="10" customFormat="1" ht="24.95" customHeight="1" x14ac:dyDescent="0.25">
      <c r="B50" s="314">
        <v>110000093689</v>
      </c>
      <c r="C50" s="516">
        <v>45490</v>
      </c>
      <c r="D50" s="516">
        <v>45855</v>
      </c>
      <c r="E50" s="519" t="s">
        <v>444</v>
      </c>
      <c r="F50" s="454">
        <v>365</v>
      </c>
      <c r="G50" s="519"/>
      <c r="H50" s="540">
        <f t="shared" si="5"/>
        <v>21514647.600000001</v>
      </c>
      <c r="I50" s="423">
        <v>58944.24</v>
      </c>
      <c r="J50" s="690">
        <v>5.3</v>
      </c>
      <c r="K50" s="174"/>
      <c r="L50" s="4">
        <f t="shared" si="6"/>
        <v>312404.46999999997</v>
      </c>
      <c r="M50" s="4"/>
      <c r="N50" s="4"/>
      <c r="O50" s="4"/>
      <c r="P50" s="4"/>
    </row>
    <row r="51" spans="1:16" s="10" customFormat="1" ht="12.75" customHeight="1" x14ac:dyDescent="0.25">
      <c r="B51" s="314"/>
      <c r="C51" s="516"/>
      <c r="D51" s="516"/>
      <c r="E51" s="519"/>
      <c r="F51" s="454"/>
      <c r="G51" s="498"/>
      <c r="H51" s="540"/>
      <c r="I51" s="423"/>
      <c r="J51" s="690"/>
      <c r="K51" s="174"/>
      <c r="L51" s="4"/>
      <c r="M51" s="4"/>
      <c r="N51" s="4"/>
      <c r="O51" s="4"/>
      <c r="P51" s="4"/>
    </row>
    <row r="52" spans="1:16" s="8" customFormat="1" ht="39.75" customHeight="1" x14ac:dyDescent="0.25">
      <c r="B52" s="534" t="s">
        <v>12</v>
      </c>
      <c r="C52" s="544"/>
      <c r="D52" s="544"/>
      <c r="E52" s="544"/>
      <c r="F52" s="469">
        <f>+H52/I52</f>
        <v>365</v>
      </c>
      <c r="G52" s="470"/>
      <c r="H52" s="550">
        <f>SUM(H53)</f>
        <v>3915270732.4499998</v>
      </c>
      <c r="I52" s="523">
        <f>SUM(I53)</f>
        <v>10726769.130000001</v>
      </c>
      <c r="J52" s="689">
        <f>+L52/I52</f>
        <v>5.29</v>
      </c>
      <c r="K52" s="179"/>
      <c r="L52" s="461">
        <f>SUM(L53)</f>
        <v>56734988.460000001</v>
      </c>
      <c r="M52" s="6"/>
      <c r="N52" s="6"/>
      <c r="O52" s="6"/>
      <c r="P52" s="6"/>
    </row>
    <row r="53" spans="1:16" s="8" customFormat="1" ht="24.95" customHeight="1" x14ac:dyDescent="0.25">
      <c r="B53" s="188" t="s">
        <v>54</v>
      </c>
      <c r="C53" s="543"/>
      <c r="D53" s="543"/>
      <c r="E53" s="498"/>
      <c r="F53" s="469">
        <f>+H53/I53</f>
        <v>365</v>
      </c>
      <c r="G53" s="470">
        <f>+F53/365</f>
        <v>1</v>
      </c>
      <c r="H53" s="548">
        <f>SUM(H54:H57)</f>
        <v>3915270732.4499998</v>
      </c>
      <c r="I53" s="523">
        <f>SUM(I54:I57)</f>
        <v>10726769.130000001</v>
      </c>
      <c r="J53" s="689">
        <f>+L53/I53</f>
        <v>5.29</v>
      </c>
      <c r="K53" s="179"/>
      <c r="L53" s="6">
        <f>SUM(L54:L57)</f>
        <v>56734988.460000001</v>
      </c>
      <c r="M53" s="6"/>
      <c r="N53" s="6"/>
      <c r="O53" s="6"/>
      <c r="P53" s="6"/>
    </row>
    <row r="54" spans="1:16" s="10" customFormat="1" ht="24.95" customHeight="1" x14ac:dyDescent="0.25">
      <c r="B54" s="314">
        <v>110000091049</v>
      </c>
      <c r="C54" s="516">
        <v>45397</v>
      </c>
      <c r="D54" s="517">
        <v>45763</v>
      </c>
      <c r="E54" s="527" t="s">
        <v>444</v>
      </c>
      <c r="F54" s="454">
        <v>365</v>
      </c>
      <c r="G54" s="516"/>
      <c r="H54" s="540">
        <f t="shared" ref="H54:H57" si="7">+F54*I54</f>
        <v>142213643.30000001</v>
      </c>
      <c r="I54" s="423">
        <v>389626.42</v>
      </c>
      <c r="J54" s="684">
        <v>5</v>
      </c>
      <c r="K54" s="333" t="s">
        <v>140</v>
      </c>
      <c r="L54" s="4">
        <f t="shared" ref="L54:L57" si="8">+I54*J54</f>
        <v>1948132.1</v>
      </c>
      <c r="M54" s="4"/>
      <c r="N54" s="4"/>
      <c r="O54" s="4"/>
      <c r="P54" s="4"/>
    </row>
    <row r="55" spans="1:16" s="10" customFormat="1" ht="24.95" customHeight="1" x14ac:dyDescent="0.25">
      <c r="B55" s="314">
        <v>110000093722</v>
      </c>
      <c r="C55" s="516">
        <v>45490</v>
      </c>
      <c r="D55" s="517">
        <v>45855</v>
      </c>
      <c r="E55" s="527" t="s">
        <v>444</v>
      </c>
      <c r="F55" s="454">
        <v>365</v>
      </c>
      <c r="G55" s="516"/>
      <c r="H55" s="540">
        <f t="shared" si="7"/>
        <v>3015355768.1999998</v>
      </c>
      <c r="I55" s="423">
        <v>8261248.6799999997</v>
      </c>
      <c r="J55" s="684">
        <v>5.3</v>
      </c>
      <c r="K55" s="313"/>
      <c r="L55" s="4">
        <f t="shared" si="8"/>
        <v>43784618</v>
      </c>
      <c r="M55" s="4"/>
      <c r="N55" s="4"/>
      <c r="O55" s="4"/>
      <c r="P55" s="4"/>
    </row>
    <row r="56" spans="1:16" s="10" customFormat="1" ht="24.95" customHeight="1" x14ac:dyDescent="0.25">
      <c r="B56" s="314">
        <v>110000093731</v>
      </c>
      <c r="C56" s="516">
        <v>45490</v>
      </c>
      <c r="D56" s="517">
        <v>45855</v>
      </c>
      <c r="E56" s="527" t="s">
        <v>444</v>
      </c>
      <c r="F56" s="454">
        <v>365</v>
      </c>
      <c r="G56" s="516"/>
      <c r="H56" s="540">
        <f t="shared" si="7"/>
        <v>678418656.25</v>
      </c>
      <c r="I56" s="423">
        <v>1858681.25</v>
      </c>
      <c r="J56" s="684">
        <v>5.3</v>
      </c>
      <c r="K56" s="313"/>
      <c r="L56" s="4">
        <f t="shared" si="8"/>
        <v>9851010.6300000008</v>
      </c>
      <c r="M56" s="4"/>
      <c r="N56" s="4"/>
      <c r="O56" s="4"/>
      <c r="P56" s="4"/>
    </row>
    <row r="57" spans="1:16" s="10" customFormat="1" ht="24.95" customHeight="1" x14ac:dyDescent="0.25">
      <c r="B57" s="314">
        <v>110000093740</v>
      </c>
      <c r="C57" s="516">
        <v>45490</v>
      </c>
      <c r="D57" s="517">
        <v>45855</v>
      </c>
      <c r="E57" s="527" t="s">
        <v>444</v>
      </c>
      <c r="F57" s="454">
        <v>365</v>
      </c>
      <c r="G57" s="516"/>
      <c r="H57" s="540">
        <f t="shared" si="7"/>
        <v>79282664.700000003</v>
      </c>
      <c r="I57" s="423">
        <v>217212.78</v>
      </c>
      <c r="J57" s="684">
        <v>5.3</v>
      </c>
      <c r="K57" s="313"/>
      <c r="L57" s="4">
        <f t="shared" si="8"/>
        <v>1151227.73</v>
      </c>
      <c r="M57" s="4"/>
      <c r="N57" s="4"/>
      <c r="O57" s="4"/>
      <c r="P57" s="4"/>
    </row>
    <row r="58" spans="1:16" s="10" customFormat="1" ht="13.5" customHeight="1" x14ac:dyDescent="0.25">
      <c r="B58" s="314"/>
      <c r="C58" s="516"/>
      <c r="D58" s="517"/>
      <c r="E58" s="516"/>
      <c r="F58" s="454"/>
      <c r="G58" s="497"/>
      <c r="H58" s="540"/>
      <c r="I58" s="423"/>
      <c r="J58" s="684"/>
      <c r="K58" s="313"/>
      <c r="L58" s="4"/>
      <c r="M58" s="4"/>
      <c r="N58" s="4"/>
      <c r="O58" s="4"/>
      <c r="P58" s="4"/>
    </row>
    <row r="59" spans="1:16" s="10" customFormat="1" ht="39" customHeight="1" x14ac:dyDescent="0.25">
      <c r="B59" s="534" t="s">
        <v>13</v>
      </c>
      <c r="C59" s="544"/>
      <c r="D59" s="544"/>
      <c r="E59" s="535"/>
      <c r="F59" s="469">
        <f>+H59/I59</f>
        <v>365</v>
      </c>
      <c r="G59" s="470"/>
      <c r="H59" s="191">
        <f>SUM(H60)</f>
        <v>423398335.60000002</v>
      </c>
      <c r="I59" s="523">
        <f>SUM(I60)</f>
        <v>1159995.44</v>
      </c>
      <c r="J59" s="689">
        <f>+L59/I59</f>
        <v>5.3</v>
      </c>
      <c r="K59" s="179"/>
      <c r="L59" s="384">
        <f>SUM(L60)</f>
        <v>6144341.3099999996</v>
      </c>
      <c r="M59" s="4"/>
      <c r="N59" s="4"/>
      <c r="O59" s="4"/>
      <c r="P59" s="4"/>
    </row>
    <row r="60" spans="1:16" s="8" customFormat="1" ht="24.95" customHeight="1" x14ac:dyDescent="0.25">
      <c r="B60" s="188" t="s">
        <v>54</v>
      </c>
      <c r="C60" s="543"/>
      <c r="D60" s="543"/>
      <c r="E60" s="498"/>
      <c r="F60" s="469">
        <f>+H60/I60</f>
        <v>365</v>
      </c>
      <c r="G60" s="470">
        <f>+F60/365</f>
        <v>1</v>
      </c>
      <c r="H60" s="548">
        <f>SUM(H61:H65)</f>
        <v>423398335.60000002</v>
      </c>
      <c r="I60" s="523">
        <f>SUM(I61:I65)</f>
        <v>1159995.44</v>
      </c>
      <c r="J60" s="689">
        <f>+L60/I60</f>
        <v>5.3</v>
      </c>
      <c r="K60" s="179"/>
      <c r="L60" s="6">
        <f>SUM(L61:L65)</f>
        <v>6144341.3099999996</v>
      </c>
      <c r="M60" s="6"/>
      <c r="N60" s="6"/>
      <c r="O60" s="6"/>
      <c r="P60" s="6"/>
    </row>
    <row r="61" spans="1:16" s="10" customFormat="1" ht="24.95" customHeight="1" x14ac:dyDescent="0.25">
      <c r="A61" s="29"/>
      <c r="B61" s="314">
        <v>110000091030</v>
      </c>
      <c r="C61" s="516">
        <v>45397</v>
      </c>
      <c r="D61" s="517">
        <v>45763</v>
      </c>
      <c r="E61" s="527" t="s">
        <v>444</v>
      </c>
      <c r="F61" s="454">
        <v>365</v>
      </c>
      <c r="G61" s="516"/>
      <c r="H61" s="540">
        <f t="shared" ref="H61:H65" si="9">+F61*I61</f>
        <v>4422004.2</v>
      </c>
      <c r="I61" s="423">
        <v>12115.08</v>
      </c>
      <c r="J61" s="684">
        <v>5</v>
      </c>
      <c r="K61" s="323" t="s">
        <v>140</v>
      </c>
      <c r="L61" s="4">
        <f t="shared" ref="L61:L65" si="10">+I61*J61</f>
        <v>60575.4</v>
      </c>
      <c r="M61" s="4"/>
      <c r="N61" s="4"/>
      <c r="O61" s="4"/>
      <c r="P61" s="4"/>
    </row>
    <row r="62" spans="1:16" s="10" customFormat="1" ht="24.95" customHeight="1" x14ac:dyDescent="0.25">
      <c r="A62" s="29"/>
      <c r="B62" s="314">
        <v>110000093348</v>
      </c>
      <c r="C62" s="516">
        <v>45482</v>
      </c>
      <c r="D62" s="517">
        <v>45847</v>
      </c>
      <c r="E62" s="527" t="s">
        <v>444</v>
      </c>
      <c r="F62" s="454">
        <v>365</v>
      </c>
      <c r="G62" s="516"/>
      <c r="H62" s="540">
        <f t="shared" si="9"/>
        <v>95080039.900000006</v>
      </c>
      <c r="I62" s="423">
        <v>260493.26</v>
      </c>
      <c r="J62" s="684">
        <v>5.3</v>
      </c>
      <c r="K62" s="313"/>
      <c r="L62" s="4">
        <f t="shared" si="10"/>
        <v>1380614.28</v>
      </c>
      <c r="M62" s="4"/>
      <c r="N62" s="4"/>
      <c r="O62" s="4"/>
      <c r="P62" s="4"/>
    </row>
    <row r="63" spans="1:16" s="10" customFormat="1" ht="24.95" customHeight="1" x14ac:dyDescent="0.25">
      <c r="A63" s="29"/>
      <c r="B63" s="314">
        <v>110000093750</v>
      </c>
      <c r="C63" s="516">
        <v>45490</v>
      </c>
      <c r="D63" s="517">
        <v>45855</v>
      </c>
      <c r="E63" s="527" t="s">
        <v>444</v>
      </c>
      <c r="F63" s="454">
        <v>365</v>
      </c>
      <c r="G63" s="516"/>
      <c r="H63" s="540">
        <f t="shared" si="9"/>
        <v>117957641.3</v>
      </c>
      <c r="I63" s="423">
        <v>323171.62</v>
      </c>
      <c r="J63" s="684">
        <v>5.3</v>
      </c>
      <c r="K63" s="313"/>
      <c r="L63" s="4">
        <f t="shared" si="10"/>
        <v>1712809.59</v>
      </c>
      <c r="M63" s="4"/>
      <c r="N63" s="4"/>
      <c r="O63" s="4"/>
      <c r="P63" s="4"/>
    </row>
    <row r="64" spans="1:16" s="10" customFormat="1" ht="24.95" customHeight="1" x14ac:dyDescent="0.25">
      <c r="A64" s="29"/>
      <c r="B64" s="314">
        <v>110000093769</v>
      </c>
      <c r="C64" s="516">
        <v>45490</v>
      </c>
      <c r="D64" s="517">
        <v>45855</v>
      </c>
      <c r="E64" s="527" t="s">
        <v>444</v>
      </c>
      <c r="F64" s="454">
        <v>365</v>
      </c>
      <c r="G64" s="516"/>
      <c r="H64" s="540">
        <f t="shared" si="9"/>
        <v>196715060.05000001</v>
      </c>
      <c r="I64" s="423">
        <v>538945.37</v>
      </c>
      <c r="J64" s="684">
        <v>5.3</v>
      </c>
      <c r="K64" s="313"/>
      <c r="L64" s="4">
        <f t="shared" si="10"/>
        <v>2856410.46</v>
      </c>
      <c r="M64" s="4"/>
      <c r="N64" s="4"/>
      <c r="O64" s="4"/>
      <c r="P64" s="4"/>
    </row>
    <row r="65" spans="1:17" s="10" customFormat="1" ht="24.95" customHeight="1" x14ac:dyDescent="0.25">
      <c r="A65" s="29"/>
      <c r="B65" s="314">
        <v>110000093778</v>
      </c>
      <c r="C65" s="516">
        <v>45490</v>
      </c>
      <c r="D65" s="517">
        <v>45855</v>
      </c>
      <c r="E65" s="527" t="s">
        <v>444</v>
      </c>
      <c r="F65" s="454">
        <v>365</v>
      </c>
      <c r="G65" s="516"/>
      <c r="H65" s="540">
        <f t="shared" si="9"/>
        <v>9223590.1500000004</v>
      </c>
      <c r="I65" s="423">
        <v>25270.11</v>
      </c>
      <c r="J65" s="684">
        <v>5.3</v>
      </c>
      <c r="K65" s="313"/>
      <c r="L65" s="4">
        <f t="shared" si="10"/>
        <v>133931.57999999999</v>
      </c>
      <c r="M65" s="4"/>
      <c r="N65" s="4"/>
      <c r="O65" s="4"/>
      <c r="P65" s="4"/>
    </row>
    <row r="66" spans="1:17" s="8" customFormat="1" ht="24.95" customHeight="1" x14ac:dyDescent="0.25">
      <c r="A66" s="10"/>
      <c r="B66" s="510" t="s">
        <v>128</v>
      </c>
      <c r="C66" s="518"/>
      <c r="D66" s="518"/>
      <c r="E66" s="498"/>
      <c r="F66" s="469">
        <f>+H66/I66</f>
        <v>365</v>
      </c>
      <c r="G66" s="470"/>
      <c r="H66" s="549">
        <f>SUM(H67)</f>
        <v>475835732.10000002</v>
      </c>
      <c r="I66" s="523">
        <f>SUM(I67)</f>
        <v>1303659.54</v>
      </c>
      <c r="J66" s="689">
        <f>+L66/I66</f>
        <v>5.3</v>
      </c>
      <c r="K66" s="179"/>
      <c r="L66" s="191">
        <f>SUM(L67)</f>
        <v>6909395.5599999996</v>
      </c>
      <c r="M66" s="6"/>
      <c r="N66" s="6"/>
      <c r="O66" s="6"/>
      <c r="P66" s="6"/>
    </row>
    <row r="67" spans="1:17" s="8" customFormat="1" ht="24.95" customHeight="1" x14ac:dyDescent="0.25">
      <c r="A67" s="10"/>
      <c r="B67" s="188" t="s">
        <v>54</v>
      </c>
      <c r="C67" s="543"/>
      <c r="D67" s="543"/>
      <c r="E67" s="498"/>
      <c r="F67" s="469">
        <f>+H67/I67</f>
        <v>365</v>
      </c>
      <c r="G67" s="470">
        <f>+F67/365</f>
        <v>1</v>
      </c>
      <c r="H67" s="548">
        <f>SUM(H68:H69)</f>
        <v>475835732.10000002</v>
      </c>
      <c r="I67" s="523">
        <f>SUM(I68:I69)</f>
        <v>1303659.54</v>
      </c>
      <c r="J67" s="689">
        <f>+L67/I67</f>
        <v>5.3</v>
      </c>
      <c r="K67" s="313"/>
      <c r="L67" s="6">
        <f>SUM(L68:L69)</f>
        <v>6909395.5599999996</v>
      </c>
      <c r="M67" s="6"/>
      <c r="N67" s="6"/>
      <c r="O67" s="6"/>
      <c r="P67" s="6"/>
    </row>
    <row r="68" spans="1:17" s="8" customFormat="1" ht="24.95" customHeight="1" x14ac:dyDescent="0.25">
      <c r="A68" s="10"/>
      <c r="B68" s="442">
        <v>110000093713</v>
      </c>
      <c r="C68" s="518">
        <v>45490</v>
      </c>
      <c r="D68" s="518">
        <v>45855</v>
      </c>
      <c r="E68" s="527" t="s">
        <v>444</v>
      </c>
      <c r="F68" s="454">
        <v>365</v>
      </c>
      <c r="G68" s="516"/>
      <c r="H68" s="540">
        <f t="shared" ref="H68:H69" si="11">+F68*I68</f>
        <v>8455057.0999999996</v>
      </c>
      <c r="I68" s="423">
        <v>23164.54</v>
      </c>
      <c r="J68" s="690">
        <v>5.3</v>
      </c>
      <c r="K68" s="313"/>
      <c r="L68" s="4">
        <f t="shared" ref="L68:L69" si="12">+I68*J68</f>
        <v>122772.06</v>
      </c>
      <c r="M68" s="6"/>
      <c r="N68" s="6"/>
      <c r="O68" s="6"/>
      <c r="P68" s="6"/>
    </row>
    <row r="69" spans="1:17" s="8" customFormat="1" ht="24.95" customHeight="1" x14ac:dyDescent="0.25">
      <c r="A69" s="10"/>
      <c r="B69" s="442">
        <v>110000093787</v>
      </c>
      <c r="C69" s="518">
        <v>45490</v>
      </c>
      <c r="D69" s="518">
        <v>45855</v>
      </c>
      <c r="E69" s="527" t="s">
        <v>444</v>
      </c>
      <c r="F69" s="454">
        <v>365</v>
      </c>
      <c r="G69" s="516"/>
      <c r="H69" s="540">
        <f t="shared" si="11"/>
        <v>467380675</v>
      </c>
      <c r="I69" s="423">
        <v>1280495</v>
      </c>
      <c r="J69" s="690">
        <v>5.3</v>
      </c>
      <c r="K69" s="313"/>
      <c r="L69" s="4">
        <f t="shared" si="12"/>
        <v>6786623.5</v>
      </c>
      <c r="M69" s="6"/>
      <c r="N69" s="6"/>
      <c r="O69" s="6"/>
      <c r="P69" s="6"/>
    </row>
    <row r="70" spans="1:17" s="8" customFormat="1" ht="11.25" customHeight="1" x14ac:dyDescent="0.25">
      <c r="A70" s="10"/>
      <c r="B70" s="442"/>
      <c r="C70" s="545"/>
      <c r="D70" s="545"/>
      <c r="E70" s="497"/>
      <c r="F70" s="454"/>
      <c r="G70" s="516"/>
      <c r="H70" s="512"/>
      <c r="I70" s="514"/>
      <c r="J70" s="690"/>
      <c r="K70" s="313"/>
      <c r="L70" s="4"/>
      <c r="M70" s="6"/>
      <c r="N70" s="6"/>
      <c r="O70" s="6"/>
      <c r="P70" s="6"/>
    </row>
    <row r="71" spans="1:17" s="8" customFormat="1" ht="24.95" customHeight="1" x14ac:dyDescent="0.25">
      <c r="B71" s="564" t="s">
        <v>37</v>
      </c>
      <c r="C71" s="319"/>
      <c r="D71" s="319"/>
      <c r="E71" s="456"/>
      <c r="F71" s="536">
        <f>+H71/I71</f>
        <v>305</v>
      </c>
      <c r="G71" s="565">
        <f>+F71/365</f>
        <v>0.84</v>
      </c>
      <c r="H71" s="537">
        <f>SUM(H72:H74)</f>
        <v>16353207362.6</v>
      </c>
      <c r="I71" s="560">
        <f>SUM(I72:I74)</f>
        <v>53555301.240000002</v>
      </c>
      <c r="J71" s="691">
        <f>+L71/I71</f>
        <v>5.3</v>
      </c>
      <c r="K71" s="462"/>
      <c r="L71" s="457">
        <f>SUM(L72:L74)</f>
        <v>284046713.19</v>
      </c>
      <c r="M71" s="20"/>
      <c r="N71" s="20"/>
      <c r="O71" s="20"/>
      <c r="P71" s="20"/>
      <c r="Q71" s="20"/>
    </row>
    <row r="72" spans="1:17" s="8" customFormat="1" ht="24.95" customHeight="1" x14ac:dyDescent="0.25">
      <c r="B72" s="314" t="s">
        <v>528</v>
      </c>
      <c r="C72" s="516">
        <v>45485</v>
      </c>
      <c r="D72" s="527">
        <v>45513</v>
      </c>
      <c r="E72" s="519" t="s">
        <v>431</v>
      </c>
      <c r="F72" s="454">
        <v>28</v>
      </c>
      <c r="G72" s="519"/>
      <c r="H72" s="540">
        <f t="shared" ref="H72:H74" si="13">+F72*I72</f>
        <v>392000000</v>
      </c>
      <c r="I72" s="423">
        <v>14000000</v>
      </c>
      <c r="J72" s="686">
        <v>4.2</v>
      </c>
      <c r="K72" s="174"/>
      <c r="L72" s="4">
        <f t="shared" ref="L72:L74" si="14">+I72*J72</f>
        <v>58800000</v>
      </c>
      <c r="M72" s="20"/>
      <c r="N72" s="20"/>
      <c r="O72" s="20"/>
      <c r="P72" s="20"/>
      <c r="Q72" s="20"/>
    </row>
    <row r="73" spans="1:17" s="8" customFormat="1" ht="24.95" customHeight="1" x14ac:dyDescent="0.25">
      <c r="B73" s="314" t="s">
        <v>555</v>
      </c>
      <c r="C73" s="516">
        <v>45496</v>
      </c>
      <c r="D73" s="527">
        <v>45861</v>
      </c>
      <c r="E73" s="519" t="s">
        <v>444</v>
      </c>
      <c r="F73" s="454">
        <v>365</v>
      </c>
      <c r="G73" s="519"/>
      <c r="H73" s="540">
        <f t="shared" si="13"/>
        <v>13675923747.6</v>
      </c>
      <c r="I73" s="423">
        <v>37468284.240000002</v>
      </c>
      <c r="J73" s="686">
        <v>5.8</v>
      </c>
      <c r="K73" s="174"/>
      <c r="L73" s="4">
        <f t="shared" si="14"/>
        <v>217316048.59</v>
      </c>
      <c r="M73" s="20"/>
      <c r="N73" s="20"/>
      <c r="O73" s="20"/>
      <c r="P73" s="20"/>
      <c r="Q73" s="20"/>
    </row>
    <row r="74" spans="1:17" s="8" customFormat="1" ht="24.95" customHeight="1" x14ac:dyDescent="0.25">
      <c r="B74" s="538" t="s">
        <v>172</v>
      </c>
      <c r="C74" s="452">
        <v>44834</v>
      </c>
      <c r="D74" s="539">
        <v>45930</v>
      </c>
      <c r="E74" s="450" t="s">
        <v>9</v>
      </c>
      <c r="F74" s="453">
        <f>3*365</f>
        <v>1095</v>
      </c>
      <c r="G74" s="450"/>
      <c r="H74" s="541">
        <f t="shared" si="13"/>
        <v>2285283615</v>
      </c>
      <c r="I74" s="514">
        <v>2087017</v>
      </c>
      <c r="J74" s="692">
        <v>3.8</v>
      </c>
      <c r="K74" s="323" t="s">
        <v>140</v>
      </c>
      <c r="L74" s="4">
        <f t="shared" si="14"/>
        <v>7930664.5999999996</v>
      </c>
      <c r="M74" s="6"/>
      <c r="N74" s="6"/>
      <c r="O74" s="6"/>
      <c r="P74" s="6"/>
    </row>
    <row r="75" spans="1:17" ht="13.5" customHeight="1" x14ac:dyDescent="0.25">
      <c r="K75" s="1"/>
      <c r="L75" s="1"/>
      <c r="M75" s="1"/>
      <c r="N75" s="1"/>
      <c r="O75" s="1"/>
      <c r="P75" s="1"/>
    </row>
  </sheetData>
  <sortState ref="B23:J28">
    <sortCondition ref="D23:D28"/>
  </sortState>
  <mergeCells count="14">
    <mergeCell ref="K6:K7"/>
    <mergeCell ref="B2:J2"/>
    <mergeCell ref="B4:J4"/>
    <mergeCell ref="B5:J5"/>
    <mergeCell ref="B6:B7"/>
    <mergeCell ref="C6:C7"/>
    <mergeCell ref="D6:D7"/>
    <mergeCell ref="G6:G7"/>
    <mergeCell ref="E6:E7"/>
    <mergeCell ref="F6:F7"/>
    <mergeCell ref="B3:J3"/>
    <mergeCell ref="J6:J7"/>
    <mergeCell ref="I6:I7"/>
    <mergeCell ref="H6:H7"/>
  </mergeCells>
  <printOptions horizontalCentered="1" gridLinesSet="0"/>
  <pageMargins left="0.23622047244094491" right="0.23622047244094491" top="0.35433070866141736" bottom="0.51181102362204722" header="0.31496062992125984" footer="0.31496062992125984"/>
  <pageSetup scale="57" fitToWidth="2" fitToHeight="0" orientation="portrait" blackAndWhite="1" useFirstPageNumber="1" r:id="rId1"/>
  <headerFooter alignWithMargins="0">
    <oddFooter>&amp;C&amp;"Arial,Normal"&amp;8Página &amp;P de &amp;N</oddFooter>
  </headerFooter>
  <rowBreaks count="1" manualBreakCount="1">
    <brk id="35" min="1" max="6" man="1"/>
  </rowBreaks>
  <ignoredErrors>
    <ignoredError sqref="L47 L44:L45 L38:L40 L35 H35 H38:H40 H44:H45 H47 F13 J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" transitionEvaluation="1">
    <tabColor theme="9" tint="-0.249977111117893"/>
    <pageSetUpPr fitToPage="1"/>
  </sheetPr>
  <dimension ref="A1:U38"/>
  <sheetViews>
    <sheetView showGridLines="0" topLeftCell="A4" zoomScaleNormal="100" zoomScaleSheetLayoutView="85" workbookViewId="0">
      <selection activeCell="G9" sqref="G9"/>
    </sheetView>
  </sheetViews>
  <sheetFormatPr baseColWidth="10" defaultColWidth="20.140625" defaultRowHeight="21.75" customHeight="1" x14ac:dyDescent="0.25"/>
  <cols>
    <col min="1" max="1" width="5.85546875" style="1" customWidth="1"/>
    <col min="2" max="2" width="35.140625" style="10" customWidth="1"/>
    <col min="3" max="3" width="20.140625" style="10"/>
    <col min="4" max="4" width="20.140625" style="10" customWidth="1"/>
    <col min="5" max="5" width="17" style="10" hidden="1" customWidth="1"/>
    <col min="6" max="6" width="23.42578125" style="10" hidden="1" customWidth="1"/>
    <col min="7" max="7" width="20.28515625" style="10" customWidth="1"/>
    <col min="8" max="8" width="23.28515625" style="10" hidden="1" customWidth="1"/>
    <col min="9" max="9" width="22" style="10" customWidth="1"/>
    <col min="10" max="10" width="19.140625" style="19" customWidth="1"/>
    <col min="11" max="11" width="32.42578125" style="10" hidden="1" customWidth="1"/>
    <col min="12" max="12" width="33.85546875" style="2" hidden="1" customWidth="1"/>
    <col min="13" max="16" width="20.140625" style="1"/>
    <col min="17" max="21" width="20.140625" style="3"/>
    <col min="22" max="16384" width="20.140625" style="1"/>
  </cols>
  <sheetData>
    <row r="1" spans="1:21" s="12" customFormat="1" ht="17.25" customHeight="1" x14ac:dyDescent="0.25">
      <c r="B1" s="37"/>
      <c r="C1" s="37"/>
      <c r="D1" s="37"/>
      <c r="E1" s="37"/>
      <c r="F1" s="37"/>
      <c r="G1" s="37"/>
      <c r="H1" s="37"/>
      <c r="I1" s="37"/>
      <c r="J1" s="491"/>
      <c r="K1" s="19"/>
      <c r="L1" s="18"/>
      <c r="M1" s="816"/>
      <c r="N1" s="816"/>
      <c r="O1" s="816"/>
      <c r="P1" s="816"/>
      <c r="Q1" s="816"/>
      <c r="R1" s="11"/>
      <c r="S1" s="11"/>
      <c r="T1" s="11"/>
      <c r="U1" s="11"/>
    </row>
    <row r="2" spans="1:21" s="13" customFormat="1" ht="21.95" customHeight="1" x14ac:dyDescent="0.25">
      <c r="B2" s="808" t="s">
        <v>0</v>
      </c>
      <c r="C2" s="808"/>
      <c r="D2" s="808"/>
      <c r="E2" s="808"/>
      <c r="F2" s="808"/>
      <c r="G2" s="808"/>
      <c r="H2" s="808"/>
      <c r="I2" s="808"/>
      <c r="J2" s="808"/>
      <c r="K2" s="19"/>
      <c r="L2" s="817"/>
      <c r="M2" s="817"/>
      <c r="N2" s="817"/>
      <c r="O2" s="817"/>
      <c r="P2" s="817"/>
      <c r="Q2" s="817"/>
      <c r="R2" s="20"/>
      <c r="S2" s="20"/>
      <c r="T2" s="20"/>
      <c r="U2" s="20"/>
    </row>
    <row r="3" spans="1:21" s="480" customFormat="1" ht="21.95" customHeight="1" x14ac:dyDescent="0.25">
      <c r="B3" s="808" t="s">
        <v>597</v>
      </c>
      <c r="C3" s="808"/>
      <c r="D3" s="808"/>
      <c r="E3" s="808"/>
      <c r="F3" s="808"/>
      <c r="G3" s="808"/>
      <c r="H3" s="808"/>
      <c r="I3" s="808"/>
      <c r="J3" s="808"/>
      <c r="K3" s="489"/>
      <c r="L3" s="481"/>
      <c r="M3" s="481"/>
      <c r="N3" s="481"/>
      <c r="O3" s="481"/>
      <c r="P3" s="481"/>
      <c r="Q3" s="481"/>
      <c r="R3" s="20"/>
      <c r="S3" s="20"/>
      <c r="T3" s="20"/>
      <c r="U3" s="20"/>
    </row>
    <row r="4" spans="1:21" s="24" customFormat="1" ht="21.95" customHeight="1" x14ac:dyDescent="0.25">
      <c r="A4" s="21"/>
      <c r="B4" s="809" t="s">
        <v>71</v>
      </c>
      <c r="C4" s="809"/>
      <c r="D4" s="809"/>
      <c r="E4" s="809"/>
      <c r="F4" s="809"/>
      <c r="G4" s="809"/>
      <c r="H4" s="809"/>
      <c r="I4" s="809"/>
      <c r="J4" s="809"/>
      <c r="K4" s="315"/>
      <c r="L4" s="818"/>
      <c r="M4" s="23"/>
      <c r="N4" s="23"/>
      <c r="O4" s="23"/>
      <c r="P4" s="23"/>
      <c r="Q4" s="23"/>
      <c r="R4" s="20"/>
      <c r="S4" s="20"/>
      <c r="T4" s="20"/>
      <c r="U4" s="21"/>
    </row>
    <row r="5" spans="1:21" s="24" customFormat="1" ht="21.95" customHeight="1" x14ac:dyDescent="0.25">
      <c r="A5" s="21"/>
      <c r="B5" s="809" t="s">
        <v>58</v>
      </c>
      <c r="C5" s="809"/>
      <c r="D5" s="809"/>
      <c r="E5" s="809"/>
      <c r="F5" s="809"/>
      <c r="G5" s="809"/>
      <c r="H5" s="809"/>
      <c r="I5" s="809"/>
      <c r="J5" s="809"/>
      <c r="K5" s="315"/>
      <c r="L5" s="818"/>
      <c r="M5" s="23"/>
      <c r="N5" s="23"/>
      <c r="O5" s="23"/>
      <c r="P5" s="23"/>
      <c r="Q5" s="23"/>
      <c r="R5" s="20"/>
      <c r="S5" s="20"/>
      <c r="T5" s="20"/>
      <c r="U5" s="21"/>
    </row>
    <row r="6" spans="1:21" s="13" customFormat="1" ht="21.95" customHeight="1" x14ac:dyDescent="0.25">
      <c r="B6" s="810" t="str">
        <f>'VENC. '!$B$4</f>
        <v>AL 31 DE JULIO  DE 2024</v>
      </c>
      <c r="C6" s="810"/>
      <c r="D6" s="810"/>
      <c r="E6" s="810"/>
      <c r="F6" s="810"/>
      <c r="G6" s="810"/>
      <c r="H6" s="810"/>
      <c r="I6" s="810"/>
      <c r="J6" s="810"/>
      <c r="K6" s="315"/>
      <c r="L6" s="818"/>
      <c r="M6" s="4"/>
      <c r="N6" s="4"/>
      <c r="O6" s="19"/>
      <c r="P6" s="19"/>
      <c r="Q6" s="108"/>
      <c r="R6" s="20"/>
      <c r="S6" s="20"/>
      <c r="T6" s="20"/>
      <c r="U6" s="20"/>
    </row>
    <row r="7" spans="1:21" ht="33" customHeight="1" x14ac:dyDescent="0.25">
      <c r="B7" s="813" t="s">
        <v>1</v>
      </c>
      <c r="C7" s="813" t="s">
        <v>594</v>
      </c>
      <c r="D7" s="813" t="s">
        <v>595</v>
      </c>
      <c r="E7" s="813" t="s">
        <v>2</v>
      </c>
      <c r="F7" s="568" t="s">
        <v>588</v>
      </c>
      <c r="G7" s="812" t="s">
        <v>596</v>
      </c>
      <c r="H7" s="813"/>
      <c r="I7" s="811" t="s">
        <v>598</v>
      </c>
      <c r="J7" s="813" t="s">
        <v>3</v>
      </c>
      <c r="K7" s="806" t="s">
        <v>139</v>
      </c>
      <c r="L7" s="815"/>
      <c r="M7" s="815"/>
      <c r="N7" s="815"/>
      <c r="O7" s="815"/>
      <c r="P7" s="815"/>
      <c r="Q7" s="815"/>
    </row>
    <row r="8" spans="1:21" ht="39" customHeight="1" x14ac:dyDescent="0.25">
      <c r="B8" s="814"/>
      <c r="C8" s="814"/>
      <c r="D8" s="814"/>
      <c r="E8" s="814"/>
      <c r="F8" s="569"/>
      <c r="G8" s="812"/>
      <c r="H8" s="814"/>
      <c r="I8" s="811"/>
      <c r="J8" s="814"/>
      <c r="K8" s="807"/>
      <c r="L8" s="108"/>
      <c r="M8" s="18"/>
      <c r="N8" s="18"/>
      <c r="O8" s="18"/>
      <c r="P8" s="18"/>
      <c r="Q8" s="18"/>
      <c r="R8" s="11"/>
    </row>
    <row r="9" spans="1:21" ht="24.95" customHeight="1" x14ac:dyDescent="0.25">
      <c r="B9" s="574" t="s">
        <v>151</v>
      </c>
      <c r="C9" s="575"/>
      <c r="D9" s="575"/>
      <c r="E9" s="575"/>
      <c r="F9" s="480">
        <f>+H9/I9</f>
        <v>486</v>
      </c>
      <c r="G9" s="555"/>
      <c r="H9" s="426">
        <f>SUM(H11,H22,H30,H32)</f>
        <v>50137393967.599998</v>
      </c>
      <c r="I9" s="382">
        <f>SUM(I11,I22,I30,I32)</f>
        <v>103209112.23999999</v>
      </c>
      <c r="J9" s="555">
        <f>+L9/I9</f>
        <v>5.38</v>
      </c>
      <c r="K9" s="4"/>
      <c r="L9" s="504">
        <f>SUM(L11,L22,L30,L32)</f>
        <v>555469652.00999999</v>
      </c>
      <c r="M9" s="26"/>
      <c r="N9" s="26"/>
      <c r="O9" s="26"/>
      <c r="P9" s="26"/>
      <c r="Q9" s="26"/>
    </row>
    <row r="10" spans="1:21" ht="12" customHeight="1" x14ac:dyDescent="0.25">
      <c r="B10" s="102"/>
      <c r="C10" s="570"/>
      <c r="D10" s="570"/>
      <c r="E10" s="570"/>
      <c r="F10" s="485"/>
      <c r="G10" s="570"/>
      <c r="H10" s="485"/>
      <c r="I10" s="533"/>
      <c r="J10" s="587"/>
      <c r="K10" s="4"/>
      <c r="L10" s="487"/>
      <c r="M10" s="26"/>
      <c r="N10" s="26"/>
      <c r="O10" s="26"/>
      <c r="P10" s="26"/>
      <c r="Q10" s="26"/>
    </row>
    <row r="11" spans="1:21" s="8" customFormat="1" ht="24.95" customHeight="1" x14ac:dyDescent="0.25">
      <c r="B11" s="558" t="s">
        <v>54</v>
      </c>
      <c r="C11" s="513"/>
      <c r="D11" s="513"/>
      <c r="E11" s="579"/>
      <c r="F11" s="495">
        <f>+H11/I11</f>
        <v>453</v>
      </c>
      <c r="G11" s="577">
        <f>+F11/365</f>
        <v>1.24</v>
      </c>
      <c r="H11" s="426">
        <f>SUM(H12:H20)</f>
        <v>32429047762.599998</v>
      </c>
      <c r="I11" s="533">
        <f>SUM(I12:I20)</f>
        <v>71513095.239999995</v>
      </c>
      <c r="J11" s="577">
        <f>+L11/I11</f>
        <v>5.0599999999999996</v>
      </c>
      <c r="K11" s="4"/>
      <c r="L11" s="20">
        <f>SUM(L12:L20)</f>
        <v>362097750.00999999</v>
      </c>
      <c r="Q11" s="6"/>
      <c r="R11" s="6"/>
      <c r="S11" s="6"/>
      <c r="T11" s="6"/>
      <c r="U11" s="6"/>
    </row>
    <row r="12" spans="1:21" s="8" customFormat="1" ht="24.95" customHeight="1" x14ac:dyDescent="0.25">
      <c r="B12" s="314">
        <v>150000173599</v>
      </c>
      <c r="C12" s="516">
        <v>45504</v>
      </c>
      <c r="D12" s="517">
        <v>45505</v>
      </c>
      <c r="E12" s="516" t="s">
        <v>587</v>
      </c>
      <c r="F12" s="511">
        <v>1</v>
      </c>
      <c r="G12" s="516"/>
      <c r="H12" s="582">
        <f>+F12*I12</f>
        <v>4913000</v>
      </c>
      <c r="I12" s="423">
        <v>4913000</v>
      </c>
      <c r="J12" s="573">
        <v>3.25</v>
      </c>
      <c r="K12" s="4"/>
      <c r="L12" s="108">
        <f>+I12*J12</f>
        <v>15967250</v>
      </c>
      <c r="Q12" s="6"/>
      <c r="R12" s="6"/>
      <c r="S12" s="6"/>
      <c r="T12" s="6"/>
      <c r="U12" s="6"/>
    </row>
    <row r="13" spans="1:21" s="8" customFormat="1" ht="24.95" customHeight="1" x14ac:dyDescent="0.25">
      <c r="B13" s="314">
        <v>110000088188</v>
      </c>
      <c r="C13" s="516">
        <v>45226</v>
      </c>
      <c r="D13" s="517">
        <v>45593</v>
      </c>
      <c r="E13" s="516" t="s">
        <v>348</v>
      </c>
      <c r="F13" s="511">
        <v>367</v>
      </c>
      <c r="G13" s="516"/>
      <c r="H13" s="582">
        <f t="shared" ref="H13:H20" si="0">+F13*I13</f>
        <v>825750000</v>
      </c>
      <c r="I13" s="423">
        <v>2250000</v>
      </c>
      <c r="J13" s="573">
        <v>5.15</v>
      </c>
      <c r="K13" s="4"/>
      <c r="L13" s="108">
        <f t="shared" ref="L13:L20" si="1">+I13*J13</f>
        <v>11587500</v>
      </c>
      <c r="Q13" s="6"/>
      <c r="R13" s="6"/>
      <c r="S13" s="6"/>
      <c r="T13" s="6"/>
      <c r="U13" s="6"/>
    </row>
    <row r="14" spans="1:21" s="8" customFormat="1" ht="24.95" customHeight="1" x14ac:dyDescent="0.25">
      <c r="B14" s="314">
        <v>110000093419</v>
      </c>
      <c r="C14" s="516">
        <v>45482</v>
      </c>
      <c r="D14" s="517">
        <v>45482</v>
      </c>
      <c r="E14" s="516" t="s">
        <v>444</v>
      </c>
      <c r="F14" s="511">
        <v>365</v>
      </c>
      <c r="G14" s="516"/>
      <c r="H14" s="582">
        <f t="shared" si="0"/>
        <v>2100064000</v>
      </c>
      <c r="I14" s="423">
        <v>5753600</v>
      </c>
      <c r="J14" s="573">
        <v>5.25</v>
      </c>
      <c r="K14" s="4"/>
      <c r="L14" s="108">
        <f t="shared" si="1"/>
        <v>30206400</v>
      </c>
      <c r="Q14" s="6"/>
      <c r="R14" s="6"/>
      <c r="S14" s="6"/>
      <c r="T14" s="6"/>
      <c r="U14" s="6"/>
    </row>
    <row r="15" spans="1:21" s="8" customFormat="1" ht="24.95" customHeight="1" x14ac:dyDescent="0.25">
      <c r="B15" s="314">
        <v>110000093811</v>
      </c>
      <c r="C15" s="516">
        <v>45490</v>
      </c>
      <c r="D15" s="517">
        <v>45855</v>
      </c>
      <c r="E15" s="516" t="s">
        <v>444</v>
      </c>
      <c r="F15" s="511">
        <v>365</v>
      </c>
      <c r="G15" s="516"/>
      <c r="H15" s="582">
        <f t="shared" si="0"/>
        <v>9598549262.6000004</v>
      </c>
      <c r="I15" s="423">
        <v>26297395.239999998</v>
      </c>
      <c r="J15" s="573">
        <v>5.25</v>
      </c>
      <c r="K15" s="4"/>
      <c r="L15" s="108">
        <f t="shared" si="1"/>
        <v>138061325.00999999</v>
      </c>
      <c r="Q15" s="6"/>
      <c r="R15" s="6"/>
      <c r="S15" s="6"/>
      <c r="T15" s="6"/>
      <c r="U15" s="6"/>
    </row>
    <row r="16" spans="1:21" s="8" customFormat="1" ht="24.95" customHeight="1" x14ac:dyDescent="0.25">
      <c r="B16" s="314">
        <v>110000093820</v>
      </c>
      <c r="C16" s="516">
        <v>45490</v>
      </c>
      <c r="D16" s="517">
        <v>45855</v>
      </c>
      <c r="E16" s="516" t="s">
        <v>444</v>
      </c>
      <c r="F16" s="511">
        <v>365</v>
      </c>
      <c r="G16" s="516"/>
      <c r="H16" s="582">
        <f t="shared" si="0"/>
        <v>2116671500</v>
      </c>
      <c r="I16" s="423">
        <v>5799100</v>
      </c>
      <c r="J16" s="573">
        <v>5.25</v>
      </c>
      <c r="K16" s="4"/>
      <c r="L16" s="108">
        <f t="shared" si="1"/>
        <v>30445275</v>
      </c>
      <c r="Q16" s="6"/>
      <c r="R16" s="6"/>
      <c r="S16" s="6"/>
      <c r="T16" s="6"/>
      <c r="U16" s="6"/>
    </row>
    <row r="17" spans="2:21" s="8" customFormat="1" ht="24.95" customHeight="1" x14ac:dyDescent="0.25">
      <c r="B17" s="314">
        <v>110000093830</v>
      </c>
      <c r="C17" s="516">
        <v>45490</v>
      </c>
      <c r="D17" s="517">
        <v>45855</v>
      </c>
      <c r="E17" s="516" t="s">
        <v>444</v>
      </c>
      <c r="F17" s="511">
        <v>365</v>
      </c>
      <c r="G17" s="516"/>
      <c r="H17" s="582">
        <f t="shared" si="0"/>
        <v>1168000000</v>
      </c>
      <c r="I17" s="423">
        <v>3200000</v>
      </c>
      <c r="J17" s="573">
        <v>5.25</v>
      </c>
      <c r="K17" s="4"/>
      <c r="L17" s="108">
        <f t="shared" si="1"/>
        <v>16800000</v>
      </c>
      <c r="Q17" s="6"/>
      <c r="R17" s="6"/>
      <c r="S17" s="6"/>
      <c r="T17" s="6"/>
      <c r="U17" s="6"/>
    </row>
    <row r="18" spans="2:21" s="8" customFormat="1" ht="24.95" customHeight="1" x14ac:dyDescent="0.25">
      <c r="B18" s="314">
        <v>110000093858</v>
      </c>
      <c r="C18" s="516">
        <v>45490</v>
      </c>
      <c r="D18" s="517">
        <v>45855</v>
      </c>
      <c r="E18" s="516" t="s">
        <v>444</v>
      </c>
      <c r="F18" s="511">
        <v>365</v>
      </c>
      <c r="G18" s="516"/>
      <c r="H18" s="582">
        <f t="shared" si="0"/>
        <v>5840000000</v>
      </c>
      <c r="I18" s="423">
        <v>16000000</v>
      </c>
      <c r="J18" s="573">
        <v>5.25</v>
      </c>
      <c r="K18" s="4"/>
      <c r="L18" s="108">
        <f t="shared" si="1"/>
        <v>84000000</v>
      </c>
      <c r="Q18" s="6"/>
      <c r="R18" s="6"/>
      <c r="S18" s="6"/>
      <c r="T18" s="6"/>
      <c r="U18" s="6"/>
    </row>
    <row r="19" spans="2:21" s="10" customFormat="1" ht="24.95" customHeight="1" x14ac:dyDescent="0.25">
      <c r="B19" s="314">
        <v>110000083771</v>
      </c>
      <c r="C19" s="516">
        <v>44890</v>
      </c>
      <c r="D19" s="517">
        <v>45985</v>
      </c>
      <c r="E19" s="516" t="s">
        <v>9</v>
      </c>
      <c r="F19" s="511">
        <f>365*3</f>
        <v>1095</v>
      </c>
      <c r="G19" s="516"/>
      <c r="H19" s="582">
        <f t="shared" si="0"/>
        <v>3832500000</v>
      </c>
      <c r="I19" s="423">
        <v>3500000</v>
      </c>
      <c r="J19" s="573">
        <v>4.2</v>
      </c>
      <c r="K19" s="323"/>
      <c r="L19" s="108">
        <f t="shared" si="1"/>
        <v>14700000</v>
      </c>
      <c r="M19" s="4"/>
      <c r="N19" s="4"/>
      <c r="Q19" s="4"/>
      <c r="R19" s="4"/>
      <c r="S19" s="4"/>
      <c r="T19" s="4"/>
      <c r="U19" s="4"/>
    </row>
    <row r="20" spans="2:21" s="8" customFormat="1" ht="24.95" customHeight="1" x14ac:dyDescent="0.25">
      <c r="B20" s="314">
        <v>110000091020</v>
      </c>
      <c r="C20" s="516">
        <v>45397</v>
      </c>
      <c r="D20" s="517">
        <v>47224</v>
      </c>
      <c r="E20" s="516" t="s">
        <v>442</v>
      </c>
      <c r="F20" s="511">
        <v>1827</v>
      </c>
      <c r="G20" s="516"/>
      <c r="H20" s="582">
        <f t="shared" si="0"/>
        <v>6942600000</v>
      </c>
      <c r="I20" s="423">
        <v>3800000</v>
      </c>
      <c r="J20" s="573">
        <v>5.35</v>
      </c>
      <c r="K20" s="4"/>
      <c r="L20" s="108">
        <f t="shared" si="1"/>
        <v>20330000</v>
      </c>
      <c r="Q20" s="6"/>
      <c r="R20" s="6"/>
      <c r="S20" s="6"/>
      <c r="T20" s="6"/>
      <c r="U20" s="6"/>
    </row>
    <row r="21" spans="2:21" s="10" customFormat="1" ht="10.5" customHeight="1" x14ac:dyDescent="0.25">
      <c r="B21" s="314"/>
      <c r="C21" s="516"/>
      <c r="D21" s="517"/>
      <c r="E21" s="516"/>
      <c r="F21" s="511"/>
      <c r="G21" s="516"/>
      <c r="H21" s="497"/>
      <c r="I21" s="423"/>
      <c r="J21" s="573"/>
      <c r="K21" s="313"/>
      <c r="L21" s="4"/>
      <c r="M21" s="4"/>
      <c r="N21" s="4"/>
      <c r="Q21" s="4"/>
      <c r="R21" s="4"/>
      <c r="S21" s="4"/>
      <c r="T21" s="4"/>
      <c r="U21" s="4"/>
    </row>
    <row r="22" spans="2:21" s="10" customFormat="1" ht="24.95" hidden="1" customHeight="1" x14ac:dyDescent="0.25">
      <c r="B22" s="558" t="s">
        <v>37</v>
      </c>
      <c r="C22" s="513"/>
      <c r="D22" s="513"/>
      <c r="E22" s="579"/>
      <c r="F22" s="511"/>
      <c r="G22" s="579"/>
      <c r="H22" s="496"/>
      <c r="I22" s="586">
        <f>SUM(I23:I26)</f>
        <v>0</v>
      </c>
      <c r="J22" s="682"/>
      <c r="K22" s="313"/>
      <c r="L22" s="4"/>
      <c r="M22" s="4"/>
      <c r="N22" s="4"/>
      <c r="Q22" s="4"/>
      <c r="R22" s="4"/>
      <c r="S22" s="4"/>
      <c r="T22" s="4"/>
      <c r="U22" s="4"/>
    </row>
    <row r="23" spans="2:21" s="10" customFormat="1" ht="24.95" hidden="1" customHeight="1" x14ac:dyDescent="0.25">
      <c r="B23" s="314"/>
      <c r="C23" s="516">
        <v>45118</v>
      </c>
      <c r="D23" s="517">
        <v>45484</v>
      </c>
      <c r="E23" s="516" t="s">
        <v>347</v>
      </c>
      <c r="F23" s="511"/>
      <c r="G23" s="516"/>
      <c r="H23" s="497"/>
      <c r="I23" s="423"/>
      <c r="J23" s="573">
        <v>4.88</v>
      </c>
      <c r="K23" s="313"/>
      <c r="L23" s="108"/>
      <c r="M23" s="4"/>
      <c r="N23" s="4"/>
      <c r="Q23" s="4"/>
      <c r="R23" s="4"/>
      <c r="S23" s="4"/>
      <c r="T23" s="4"/>
      <c r="U23" s="4"/>
    </row>
    <row r="24" spans="2:21" s="10" customFormat="1" ht="24.95" hidden="1" customHeight="1" x14ac:dyDescent="0.25">
      <c r="B24" s="314"/>
      <c r="C24" s="516">
        <v>45118</v>
      </c>
      <c r="D24" s="517">
        <v>45484</v>
      </c>
      <c r="E24" s="516" t="s">
        <v>347</v>
      </c>
      <c r="F24" s="511"/>
      <c r="G24" s="516"/>
      <c r="H24" s="497"/>
      <c r="I24" s="423"/>
      <c r="J24" s="573">
        <v>4.88</v>
      </c>
      <c r="K24" s="313"/>
      <c r="L24" s="108"/>
      <c r="M24" s="4"/>
      <c r="N24" s="4"/>
      <c r="Q24" s="4"/>
      <c r="R24" s="4"/>
      <c r="S24" s="4"/>
      <c r="T24" s="4"/>
      <c r="U24" s="4"/>
    </row>
    <row r="25" spans="2:21" s="10" customFormat="1" ht="24.95" hidden="1" customHeight="1" x14ac:dyDescent="0.25">
      <c r="B25" s="314"/>
      <c r="C25" s="516">
        <v>45121</v>
      </c>
      <c r="D25" s="517">
        <v>45488</v>
      </c>
      <c r="E25" s="516" t="s">
        <v>348</v>
      </c>
      <c r="F25" s="511"/>
      <c r="G25" s="516"/>
      <c r="H25" s="497"/>
      <c r="I25" s="423"/>
      <c r="J25" s="573">
        <v>4.88</v>
      </c>
      <c r="K25" s="313"/>
      <c r="L25" s="108"/>
      <c r="M25" s="4"/>
      <c r="N25" s="4"/>
      <c r="Q25" s="4"/>
      <c r="R25" s="4"/>
      <c r="S25" s="4"/>
      <c r="T25" s="4"/>
      <c r="U25" s="4"/>
    </row>
    <row r="26" spans="2:21" s="10" customFormat="1" ht="24.95" hidden="1" customHeight="1" x14ac:dyDescent="0.25">
      <c r="B26" s="314"/>
      <c r="C26" s="516">
        <v>45121</v>
      </c>
      <c r="D26" s="517">
        <v>45488</v>
      </c>
      <c r="E26" s="516" t="s">
        <v>348</v>
      </c>
      <c r="F26" s="511"/>
      <c r="G26" s="516"/>
      <c r="H26" s="497"/>
      <c r="I26" s="423"/>
      <c r="J26" s="573">
        <v>4.88</v>
      </c>
      <c r="K26" s="313"/>
      <c r="L26" s="108"/>
      <c r="Q26" s="4"/>
      <c r="R26" s="4"/>
      <c r="S26" s="4"/>
      <c r="T26" s="4"/>
      <c r="U26" s="4"/>
    </row>
    <row r="27" spans="2:21" s="10" customFormat="1" ht="24.95" hidden="1" customHeight="1" x14ac:dyDescent="0.25">
      <c r="B27" s="314"/>
      <c r="C27" s="516"/>
      <c r="D27" s="517"/>
      <c r="E27" s="516"/>
      <c r="F27" s="511"/>
      <c r="G27" s="516"/>
      <c r="H27" s="497"/>
      <c r="I27" s="423"/>
      <c r="J27" s="573"/>
      <c r="K27" s="313"/>
      <c r="L27" s="482"/>
      <c r="Q27" s="4"/>
      <c r="R27" s="4"/>
      <c r="S27" s="4"/>
      <c r="T27" s="4"/>
      <c r="U27" s="4"/>
    </row>
    <row r="28" spans="2:21" s="10" customFormat="1" ht="24.95" customHeight="1" x14ac:dyDescent="0.25">
      <c r="B28" s="564" t="s">
        <v>599</v>
      </c>
      <c r="C28" s="319"/>
      <c r="D28" s="318"/>
      <c r="E28" s="319"/>
      <c r="F28" s="471"/>
      <c r="G28" s="319"/>
      <c r="H28" s="446"/>
      <c r="I28" s="459"/>
      <c r="J28" s="683"/>
      <c r="K28" s="313"/>
      <c r="L28" s="482"/>
      <c r="Q28" s="4"/>
      <c r="R28" s="4"/>
      <c r="S28" s="4"/>
      <c r="T28" s="4"/>
      <c r="U28" s="4"/>
    </row>
    <row r="29" spans="2:21" s="10" customFormat="1" ht="7.5" customHeight="1" x14ac:dyDescent="0.25">
      <c r="B29" s="314"/>
      <c r="C29" s="516"/>
      <c r="D29" s="517"/>
      <c r="E29" s="516"/>
      <c r="F29" s="511"/>
      <c r="G29" s="516"/>
      <c r="H29" s="497"/>
      <c r="I29" s="423"/>
      <c r="J29" s="573"/>
      <c r="K29" s="313"/>
      <c r="L29" s="482"/>
      <c r="Q29" s="4"/>
      <c r="R29" s="4"/>
      <c r="S29" s="4"/>
      <c r="T29" s="4"/>
      <c r="U29" s="4"/>
    </row>
    <row r="30" spans="2:21" s="10" customFormat="1" ht="24.95" hidden="1" customHeight="1" x14ac:dyDescent="0.25">
      <c r="B30" s="188" t="s">
        <v>356</v>
      </c>
      <c r="C30" s="513"/>
      <c r="D30" s="513"/>
      <c r="E30" s="579"/>
      <c r="F30" s="511"/>
      <c r="G30" s="579"/>
      <c r="H30" s="496"/>
      <c r="I30" s="586">
        <f>SUM(I31:I31)</f>
        <v>0</v>
      </c>
      <c r="J30" s="682"/>
      <c r="K30" s="313"/>
      <c r="L30" s="482"/>
      <c r="Q30" s="4"/>
      <c r="R30" s="4"/>
      <c r="S30" s="4"/>
      <c r="T30" s="4"/>
      <c r="U30" s="4"/>
    </row>
    <row r="31" spans="2:21" s="151" customFormat="1" ht="24.95" hidden="1" customHeight="1" x14ac:dyDescent="0.25">
      <c r="B31" s="314"/>
      <c r="C31" s="516">
        <v>45096</v>
      </c>
      <c r="D31" s="517">
        <v>45461</v>
      </c>
      <c r="E31" s="516" t="s">
        <v>199</v>
      </c>
      <c r="F31" s="511"/>
      <c r="G31" s="516"/>
      <c r="H31" s="497"/>
      <c r="I31" s="423"/>
      <c r="J31" s="573">
        <v>4.2</v>
      </c>
      <c r="K31" s="155"/>
      <c r="L31" s="159"/>
      <c r="Q31" s="156"/>
      <c r="R31" s="156"/>
      <c r="S31" s="156"/>
      <c r="T31" s="156"/>
      <c r="U31" s="156"/>
    </row>
    <row r="32" spans="2:21" s="151" customFormat="1" ht="24.95" customHeight="1" x14ac:dyDescent="0.25">
      <c r="B32" s="448" t="s">
        <v>357</v>
      </c>
      <c r="C32" s="513"/>
      <c r="D32" s="513"/>
      <c r="E32" s="579"/>
      <c r="F32" s="580">
        <f>+H32/I32</f>
        <v>559</v>
      </c>
      <c r="G32" s="577">
        <f>+F32/365</f>
        <v>1.53</v>
      </c>
      <c r="H32" s="426">
        <f>SUM(H33:H34)</f>
        <v>17708346205</v>
      </c>
      <c r="I32" s="533">
        <f>SUM(I33:I34)</f>
        <v>31696017</v>
      </c>
      <c r="J32" s="677">
        <f>+L32/I32</f>
        <v>6.1</v>
      </c>
      <c r="K32" s="155"/>
      <c r="L32" s="108">
        <f>SUM(L33:L34)</f>
        <v>193371902</v>
      </c>
      <c r="Q32" s="156"/>
      <c r="R32" s="156"/>
      <c r="S32" s="156"/>
      <c r="T32" s="156"/>
      <c r="U32" s="156"/>
    </row>
    <row r="33" spans="2:21" s="151" customFormat="1" ht="24.95" customHeight="1" x14ac:dyDescent="0.25">
      <c r="B33" s="314">
        <v>1710142740</v>
      </c>
      <c r="C33" s="516">
        <v>45183</v>
      </c>
      <c r="D33" s="517">
        <v>45548</v>
      </c>
      <c r="E33" s="516" t="s">
        <v>199</v>
      </c>
      <c r="F33" s="511">
        <v>365</v>
      </c>
      <c r="G33" s="516"/>
      <c r="H33" s="582">
        <f t="shared" ref="H33:H34" si="2">+F33*I33</f>
        <v>5429746205</v>
      </c>
      <c r="I33" s="423">
        <v>14876017</v>
      </c>
      <c r="J33" s="573">
        <v>6</v>
      </c>
      <c r="K33" s="155"/>
      <c r="L33" s="108">
        <f t="shared" ref="L33:L34" si="3">+I33*J33</f>
        <v>89256102</v>
      </c>
      <c r="Q33" s="156"/>
      <c r="R33" s="156"/>
      <c r="S33" s="156"/>
      <c r="T33" s="156"/>
      <c r="U33" s="156"/>
    </row>
    <row r="34" spans="2:21" s="151" customFormat="1" ht="24.95" customHeight="1" x14ac:dyDescent="0.25">
      <c r="B34" s="538">
        <v>1710142730</v>
      </c>
      <c r="C34" s="452">
        <v>45183</v>
      </c>
      <c r="D34" s="451">
        <v>45912</v>
      </c>
      <c r="E34" s="452" t="s">
        <v>8</v>
      </c>
      <c r="F34" s="581">
        <f>2*365</f>
        <v>730</v>
      </c>
      <c r="G34" s="452"/>
      <c r="H34" s="583">
        <f t="shared" si="2"/>
        <v>12278600000</v>
      </c>
      <c r="I34" s="514">
        <v>16820000</v>
      </c>
      <c r="J34" s="571">
        <v>6.19</v>
      </c>
      <c r="K34" s="155"/>
      <c r="L34" s="108">
        <f t="shared" si="3"/>
        <v>104115800</v>
      </c>
      <c r="Q34" s="156"/>
      <c r="R34" s="156"/>
      <c r="S34" s="156"/>
      <c r="T34" s="156"/>
      <c r="U34" s="156"/>
    </row>
    <row r="35" spans="2:21" ht="21.75" customHeight="1" x14ac:dyDescent="0.25">
      <c r="B35" s="121"/>
      <c r="J35" s="489"/>
    </row>
    <row r="36" spans="2:21" ht="21.75" customHeight="1" x14ac:dyDescent="0.25">
      <c r="B36" s="121"/>
      <c r="J36" s="489"/>
    </row>
    <row r="37" spans="2:21" ht="21.75" customHeight="1" x14ac:dyDescent="0.25">
      <c r="J37" s="489"/>
    </row>
    <row r="38" spans="2:21" ht="21.75" customHeight="1" x14ac:dyDescent="0.25">
      <c r="J38" s="489"/>
    </row>
  </sheetData>
  <sortState ref="B29:J30">
    <sortCondition descending="1" ref="B29"/>
  </sortState>
  <mergeCells count="18">
    <mergeCell ref="L7:Q7"/>
    <mergeCell ref="M1:Q1"/>
    <mergeCell ref="B2:J2"/>
    <mergeCell ref="L2:Q2"/>
    <mergeCell ref="B4:J4"/>
    <mergeCell ref="L4:L6"/>
    <mergeCell ref="B6:J6"/>
    <mergeCell ref="B5:J5"/>
    <mergeCell ref="K7:K8"/>
    <mergeCell ref="H7:H8"/>
    <mergeCell ref="C7:C8"/>
    <mergeCell ref="B7:B8"/>
    <mergeCell ref="D7:D8"/>
    <mergeCell ref="E7:E8"/>
    <mergeCell ref="G7:G8"/>
    <mergeCell ref="I7:I8"/>
    <mergeCell ref="J7:J8"/>
    <mergeCell ref="B3:J3"/>
  </mergeCells>
  <printOptions horizontalCentered="1" gridLinesSet="0"/>
  <pageMargins left="0.39370078740157483" right="0.39370078740157483" top="0.98425196850393704" bottom="0.98425196850393704" header="0" footer="0"/>
  <pageSetup scale="53" fitToHeight="0" orientation="portrait" blackAndWhite="1" useFirstPageNumber="1" r:id="rId1"/>
  <headerFooter alignWithMargins="0">
    <oddFooter>&amp;C&amp;"Arial,Normal"&amp;8Página &amp;P de &amp;N</oddFooter>
  </headerFooter>
  <rowBreaks count="1" manualBreakCount="1">
    <brk id="28" min="1" max="7" man="1"/>
  </rowBreaks>
  <colBreaks count="1" manualBreakCount="1">
    <brk id="10" max="2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57" transitionEvaluation="1">
    <tabColor rgb="FFFF0000"/>
    <pageSetUpPr fitToPage="1"/>
  </sheetPr>
  <dimension ref="A1:P73"/>
  <sheetViews>
    <sheetView showGridLines="0" zoomScaleNormal="100" zoomScaleSheetLayoutView="80" workbookViewId="0">
      <pane ySplit="8" topLeftCell="A57" activePane="bottomLeft" state="frozen"/>
      <selection pane="bottomLeft" activeCell="G68" sqref="G68"/>
    </sheetView>
  </sheetViews>
  <sheetFormatPr baseColWidth="10" defaultColWidth="11.140625" defaultRowHeight="26.25" customHeight="1" x14ac:dyDescent="0.25"/>
  <cols>
    <col min="1" max="1" width="5" style="8" customWidth="1"/>
    <col min="2" max="2" width="37.28515625" style="10" customWidth="1"/>
    <col min="3" max="3" width="21.28515625" style="10" customWidth="1"/>
    <col min="4" max="4" width="20.85546875" style="10" customWidth="1"/>
    <col min="5" max="5" width="15.140625" style="10" hidden="1" customWidth="1"/>
    <col min="6" max="6" width="17.5703125" style="10" hidden="1" customWidth="1"/>
    <col min="7" max="7" width="17.5703125" style="10" customWidth="1"/>
    <col min="8" max="8" width="24.140625" style="10" hidden="1" customWidth="1"/>
    <col min="9" max="9" width="22.140625" style="10" customWidth="1"/>
    <col min="10" max="10" width="21.140625" style="19" customWidth="1"/>
    <col min="11" max="11" width="21" style="1" hidden="1" customWidth="1"/>
    <col min="12" max="12" width="11.140625" style="1"/>
    <col min="13" max="16" width="11.140625" style="3"/>
    <col min="17" max="16384" width="11.140625" style="1"/>
  </cols>
  <sheetData>
    <row r="1" spans="1:16" s="12" customFormat="1" ht="15" customHeight="1" x14ac:dyDescent="0.25">
      <c r="A1" s="8"/>
      <c r="B1" s="819"/>
      <c r="C1" s="819"/>
      <c r="D1" s="819"/>
      <c r="E1" s="819"/>
      <c r="F1" s="819"/>
      <c r="G1" s="819"/>
      <c r="H1" s="819"/>
      <c r="I1" s="819"/>
      <c r="J1" s="484"/>
      <c r="K1" s="816"/>
      <c r="L1" s="816"/>
      <c r="M1" s="816"/>
      <c r="N1" s="11"/>
      <c r="O1" s="11"/>
      <c r="P1" s="11"/>
    </row>
    <row r="2" spans="1:16" s="13" customFormat="1" ht="21.95" customHeight="1" x14ac:dyDescent="0.25">
      <c r="B2" s="808" t="s">
        <v>0</v>
      </c>
      <c r="C2" s="808"/>
      <c r="D2" s="808"/>
      <c r="E2" s="808"/>
      <c r="F2" s="808"/>
      <c r="G2" s="808"/>
      <c r="H2" s="808"/>
      <c r="I2" s="808"/>
      <c r="J2" s="808"/>
      <c r="K2" s="817"/>
      <c r="L2" s="817"/>
      <c r="M2" s="817"/>
      <c r="N2" s="20"/>
      <c r="O2" s="20"/>
      <c r="P2" s="20"/>
    </row>
    <row r="3" spans="1:16" s="480" customFormat="1" ht="21.95" customHeight="1" x14ac:dyDescent="0.25">
      <c r="B3" s="808" t="s">
        <v>600</v>
      </c>
      <c r="C3" s="808"/>
      <c r="D3" s="808"/>
      <c r="E3" s="808"/>
      <c r="F3" s="808"/>
      <c r="G3" s="808"/>
      <c r="H3" s="808"/>
      <c r="I3" s="808"/>
      <c r="J3" s="808"/>
      <c r="K3" s="481"/>
      <c r="L3" s="481"/>
      <c r="M3" s="481"/>
      <c r="N3" s="20"/>
      <c r="O3" s="20"/>
      <c r="P3" s="20"/>
    </row>
    <row r="4" spans="1:16" s="24" customFormat="1" ht="21.95" customHeight="1" x14ac:dyDescent="0.25">
      <c r="A4" s="21"/>
      <c r="B4" s="809" t="s">
        <v>71</v>
      </c>
      <c r="C4" s="809"/>
      <c r="D4" s="809"/>
      <c r="E4" s="809"/>
      <c r="F4" s="809"/>
      <c r="G4" s="809"/>
      <c r="H4" s="809"/>
      <c r="I4" s="809"/>
      <c r="J4" s="809"/>
      <c r="K4" s="23"/>
      <c r="L4" s="23"/>
      <c r="M4" s="23"/>
      <c r="N4" s="20"/>
      <c r="O4" s="20"/>
      <c r="P4" s="21"/>
    </row>
    <row r="5" spans="1:16" s="24" customFormat="1" ht="21.95" customHeight="1" x14ac:dyDescent="0.25">
      <c r="A5" s="21"/>
      <c r="B5" s="809" t="s">
        <v>43</v>
      </c>
      <c r="C5" s="809"/>
      <c r="D5" s="809"/>
      <c r="E5" s="809"/>
      <c r="F5" s="809"/>
      <c r="G5" s="809"/>
      <c r="H5" s="809"/>
      <c r="I5" s="809"/>
      <c r="J5" s="809"/>
      <c r="K5" s="23"/>
      <c r="L5" s="23"/>
      <c r="M5" s="23"/>
      <c r="N5" s="20"/>
      <c r="O5" s="20"/>
      <c r="P5" s="21"/>
    </row>
    <row r="6" spans="1:16" s="13" customFormat="1" ht="21.95" customHeight="1" x14ac:dyDescent="0.25">
      <c r="B6" s="808" t="str">
        <f>'VENC. '!$B$4</f>
        <v>AL 31 DE JULIO  DE 2024</v>
      </c>
      <c r="C6" s="808"/>
      <c r="D6" s="808"/>
      <c r="E6" s="808"/>
      <c r="F6" s="808"/>
      <c r="G6" s="808"/>
      <c r="H6" s="808"/>
      <c r="I6" s="808"/>
      <c r="J6" s="808"/>
      <c r="K6" s="19"/>
      <c r="L6" s="19"/>
      <c r="M6" s="108"/>
      <c r="N6" s="20"/>
      <c r="O6" s="20"/>
      <c r="P6" s="20"/>
    </row>
    <row r="7" spans="1:16" ht="26.25" customHeight="1" x14ac:dyDescent="0.25">
      <c r="B7" s="813" t="s">
        <v>1</v>
      </c>
      <c r="C7" s="813" t="s">
        <v>594</v>
      </c>
      <c r="D7" s="813" t="s">
        <v>595</v>
      </c>
      <c r="E7" s="566" t="s">
        <v>2</v>
      </c>
      <c r="F7" s="568" t="s">
        <v>588</v>
      </c>
      <c r="G7" s="812" t="s">
        <v>596</v>
      </c>
      <c r="H7" s="566"/>
      <c r="I7" s="811" t="s">
        <v>598</v>
      </c>
      <c r="J7" s="813" t="s">
        <v>3</v>
      </c>
      <c r="K7" s="815"/>
      <c r="L7" s="815"/>
      <c r="M7" s="815"/>
    </row>
    <row r="8" spans="1:16" ht="39" customHeight="1" x14ac:dyDescent="0.25">
      <c r="B8" s="814"/>
      <c r="C8" s="814"/>
      <c r="D8" s="814"/>
      <c r="E8" s="567"/>
      <c r="F8" s="569"/>
      <c r="G8" s="812"/>
      <c r="H8" s="567"/>
      <c r="I8" s="811"/>
      <c r="J8" s="814"/>
      <c r="K8" s="18"/>
      <c r="L8" s="18"/>
      <c r="M8" s="18"/>
      <c r="N8" s="11"/>
    </row>
    <row r="9" spans="1:16" s="17" customFormat="1" ht="56.25" customHeight="1" x14ac:dyDescent="0.25">
      <c r="A9" s="10"/>
      <c r="B9" s="597" t="s">
        <v>77</v>
      </c>
      <c r="C9" s="597"/>
      <c r="D9" s="597"/>
      <c r="E9" s="595" t="s">
        <v>4</v>
      </c>
      <c r="F9" s="595"/>
      <c r="G9" s="601"/>
      <c r="H9" s="595"/>
      <c r="I9" s="603">
        <f>I10+I44</f>
        <v>173079449.50999999</v>
      </c>
      <c r="J9" s="563">
        <f>+K9/I9</f>
        <v>3.11</v>
      </c>
      <c r="K9" s="603">
        <f>K10+K44</f>
        <v>538285123.85000002</v>
      </c>
      <c r="M9" s="27"/>
      <c r="N9" s="27"/>
      <c r="O9" s="27"/>
      <c r="P9" s="27"/>
    </row>
    <row r="10" spans="1:16" s="17" customFormat="1" ht="24.95" customHeight="1" x14ac:dyDescent="0.25">
      <c r="A10" s="10"/>
      <c r="B10" s="598" t="s">
        <v>70</v>
      </c>
      <c r="C10" s="513"/>
      <c r="D10" s="513"/>
      <c r="E10" s="497"/>
      <c r="F10" s="497"/>
      <c r="G10" s="516"/>
      <c r="H10" s="497"/>
      <c r="I10" s="533">
        <f>SUM(I11)+I24+I37+I39+I41</f>
        <v>162283035.47999999</v>
      </c>
      <c r="J10" s="563">
        <f>+K10/I10</f>
        <v>3.32</v>
      </c>
      <c r="K10" s="533">
        <f>SUM(K11)+K24+K37+K39+K41</f>
        <v>538285123.85000002</v>
      </c>
      <c r="M10" s="27"/>
      <c r="N10" s="27"/>
      <c r="O10" s="27"/>
      <c r="P10" s="27"/>
    </row>
    <row r="11" spans="1:16" s="17" customFormat="1" ht="24.95" customHeight="1" x14ac:dyDescent="0.25">
      <c r="A11" s="10"/>
      <c r="B11" s="598" t="s">
        <v>54</v>
      </c>
      <c r="C11" s="513"/>
      <c r="D11" s="513"/>
      <c r="E11" s="590"/>
      <c r="F11" s="599">
        <f>+H11/I11</f>
        <v>2772</v>
      </c>
      <c r="G11" s="562">
        <f>+F11/365</f>
        <v>7.59</v>
      </c>
      <c r="H11" s="426">
        <f>SUM(H12:H22)</f>
        <v>129654701901.45</v>
      </c>
      <c r="I11" s="533">
        <f>SUM(I12:I22)</f>
        <v>46772375.689999998</v>
      </c>
      <c r="J11" s="563">
        <f>+K11/I11</f>
        <v>4.4000000000000004</v>
      </c>
      <c r="K11" s="426">
        <f>SUM(K12:K22)</f>
        <v>205753876.99000001</v>
      </c>
      <c r="M11" s="27"/>
      <c r="N11" s="27"/>
      <c r="O11" s="27"/>
      <c r="P11" s="27"/>
    </row>
    <row r="12" spans="1:16" s="17" customFormat="1" ht="24.95" customHeight="1" x14ac:dyDescent="0.25">
      <c r="A12" s="10"/>
      <c r="B12" s="515">
        <v>150000173561</v>
      </c>
      <c r="C12" s="516">
        <v>45504</v>
      </c>
      <c r="D12" s="517">
        <v>45505</v>
      </c>
      <c r="E12" s="527" t="s">
        <v>587</v>
      </c>
      <c r="F12" s="540">
        <v>1</v>
      </c>
      <c r="G12" s="454"/>
      <c r="H12" s="511">
        <f>+F12*I12</f>
        <v>1546712.84</v>
      </c>
      <c r="I12" s="423">
        <v>1546712.84</v>
      </c>
      <c r="J12" s="605">
        <v>3.3</v>
      </c>
      <c r="K12" s="593">
        <f>+I12*J12</f>
        <v>5104152.37</v>
      </c>
      <c r="M12" s="27"/>
      <c r="N12" s="27"/>
      <c r="O12" s="27"/>
      <c r="P12" s="27"/>
    </row>
    <row r="13" spans="1:16" s="17" customFormat="1" ht="24.95" customHeight="1" x14ac:dyDescent="0.25">
      <c r="A13" s="10"/>
      <c r="B13" s="515">
        <v>150000173570</v>
      </c>
      <c r="C13" s="516">
        <v>45504</v>
      </c>
      <c r="D13" s="517">
        <v>45505</v>
      </c>
      <c r="E13" s="527" t="s">
        <v>587</v>
      </c>
      <c r="F13" s="540">
        <v>1</v>
      </c>
      <c r="G13" s="454"/>
      <c r="H13" s="511">
        <f t="shared" ref="H13:H22" si="0">+F13*I13</f>
        <v>655187.56000000006</v>
      </c>
      <c r="I13" s="423">
        <v>655187.56000000006</v>
      </c>
      <c r="J13" s="605">
        <v>3.3</v>
      </c>
      <c r="K13" s="593">
        <f t="shared" ref="K13:K22" si="1">+I13*J13</f>
        <v>2162118.9500000002</v>
      </c>
      <c r="M13" s="27"/>
      <c r="N13" s="27"/>
      <c r="O13" s="27"/>
      <c r="P13" s="27"/>
    </row>
    <row r="14" spans="1:16" s="17" customFormat="1" ht="24.95" customHeight="1" x14ac:dyDescent="0.25">
      <c r="A14" s="10"/>
      <c r="B14" s="515">
        <v>110000058090</v>
      </c>
      <c r="C14" s="516">
        <v>43150</v>
      </c>
      <c r="D14" s="516">
        <v>45707</v>
      </c>
      <c r="E14" s="527" t="s">
        <v>5</v>
      </c>
      <c r="F14" s="540">
        <f>7*365</f>
        <v>2555</v>
      </c>
      <c r="G14" s="454"/>
      <c r="H14" s="511">
        <f t="shared" si="0"/>
        <v>24046801060.099998</v>
      </c>
      <c r="I14" s="423">
        <v>9411663.8200000003</v>
      </c>
      <c r="J14" s="605">
        <v>3.2</v>
      </c>
      <c r="K14" s="593">
        <f t="shared" si="1"/>
        <v>30117324.219999999</v>
      </c>
      <c r="M14" s="27"/>
      <c r="N14" s="27"/>
      <c r="O14" s="27"/>
      <c r="P14" s="27"/>
    </row>
    <row r="15" spans="1:16" s="8" customFormat="1" ht="24.95" customHeight="1" x14ac:dyDescent="0.25">
      <c r="A15" s="10"/>
      <c r="B15" s="591">
        <v>110000053324</v>
      </c>
      <c r="C15" s="517">
        <v>42916</v>
      </c>
      <c r="D15" s="517">
        <v>45838</v>
      </c>
      <c r="E15" s="527" t="s">
        <v>47</v>
      </c>
      <c r="F15" s="540">
        <f>8*365</f>
        <v>2920</v>
      </c>
      <c r="G15" s="454"/>
      <c r="H15" s="511">
        <f t="shared" si="0"/>
        <v>28318200266.799999</v>
      </c>
      <c r="I15" s="423">
        <v>9698013.7899999991</v>
      </c>
      <c r="J15" s="671">
        <v>3.3</v>
      </c>
      <c r="K15" s="593">
        <f t="shared" si="1"/>
        <v>32003445.510000002</v>
      </c>
      <c r="M15" s="6"/>
      <c r="N15" s="6"/>
      <c r="O15" s="6"/>
      <c r="P15" s="6"/>
    </row>
    <row r="16" spans="1:16" s="10" customFormat="1" ht="24.95" customHeight="1" x14ac:dyDescent="0.25">
      <c r="B16" s="515">
        <v>110000083851</v>
      </c>
      <c r="C16" s="517">
        <v>44895</v>
      </c>
      <c r="D16" s="517">
        <v>45992</v>
      </c>
      <c r="E16" s="527" t="s">
        <v>9</v>
      </c>
      <c r="F16" s="540">
        <f>3*365</f>
        <v>1095</v>
      </c>
      <c r="G16" s="454"/>
      <c r="H16" s="511">
        <f t="shared" si="0"/>
        <v>860728166.39999998</v>
      </c>
      <c r="I16" s="423">
        <v>786053.12</v>
      </c>
      <c r="J16" s="605">
        <v>4.2</v>
      </c>
      <c r="K16" s="593">
        <f t="shared" si="1"/>
        <v>3301423.1</v>
      </c>
      <c r="M16" s="4"/>
      <c r="N16" s="4"/>
      <c r="O16" s="4"/>
      <c r="P16" s="4"/>
    </row>
    <row r="17" spans="1:16" s="10" customFormat="1" ht="24.95" customHeight="1" x14ac:dyDescent="0.25">
      <c r="B17" s="515">
        <v>110000083898</v>
      </c>
      <c r="C17" s="517">
        <v>44895</v>
      </c>
      <c r="D17" s="517">
        <v>45992</v>
      </c>
      <c r="E17" s="527" t="s">
        <v>9</v>
      </c>
      <c r="F17" s="540">
        <f>3*365</f>
        <v>1095</v>
      </c>
      <c r="G17" s="454"/>
      <c r="H17" s="511">
        <f t="shared" si="0"/>
        <v>1547838093.1500001</v>
      </c>
      <c r="I17" s="423">
        <v>1413550.77</v>
      </c>
      <c r="J17" s="605">
        <v>4.2</v>
      </c>
      <c r="K17" s="593">
        <f t="shared" si="1"/>
        <v>5936913.2300000004</v>
      </c>
      <c r="M17" s="4"/>
      <c r="N17" s="4"/>
      <c r="O17" s="4"/>
      <c r="P17" s="4"/>
    </row>
    <row r="18" spans="1:16" s="10" customFormat="1" ht="24.95" customHeight="1" x14ac:dyDescent="0.25">
      <c r="B18" s="515">
        <v>110000058607</v>
      </c>
      <c r="C18" s="516" t="s">
        <v>75</v>
      </c>
      <c r="D18" s="517">
        <v>46020</v>
      </c>
      <c r="E18" s="527" t="s">
        <v>47</v>
      </c>
      <c r="F18" s="540">
        <f>8*365</f>
        <v>2920</v>
      </c>
      <c r="G18" s="454"/>
      <c r="H18" s="511">
        <f t="shared" si="0"/>
        <v>8019879893.1999998</v>
      </c>
      <c r="I18" s="423">
        <v>2746534.21</v>
      </c>
      <c r="J18" s="605">
        <v>3.3</v>
      </c>
      <c r="K18" s="593">
        <f t="shared" si="1"/>
        <v>9063562.8900000006</v>
      </c>
      <c r="M18" s="4"/>
      <c r="N18" s="4"/>
      <c r="O18" s="4"/>
      <c r="P18" s="4"/>
    </row>
    <row r="19" spans="1:16" s="10" customFormat="1" ht="24.95" customHeight="1" x14ac:dyDescent="0.25">
      <c r="B19" s="515">
        <v>110000092547</v>
      </c>
      <c r="C19" s="516">
        <v>45453</v>
      </c>
      <c r="D19" s="517">
        <v>46183</v>
      </c>
      <c r="E19" s="527" t="s">
        <v>461</v>
      </c>
      <c r="F19" s="540">
        <v>730</v>
      </c>
      <c r="G19" s="454"/>
      <c r="H19" s="511">
        <f t="shared" si="0"/>
        <v>1926857359.9000001</v>
      </c>
      <c r="I19" s="423">
        <v>2639530.63</v>
      </c>
      <c r="J19" s="605">
        <v>5.5</v>
      </c>
      <c r="K19" s="593">
        <f t="shared" si="1"/>
        <v>14517418.470000001</v>
      </c>
      <c r="M19" s="4"/>
      <c r="N19" s="4"/>
      <c r="O19" s="4"/>
      <c r="P19" s="4"/>
    </row>
    <row r="20" spans="1:16" s="10" customFormat="1" ht="24.95" customHeight="1" x14ac:dyDescent="0.25">
      <c r="B20" s="515">
        <v>110000084106</v>
      </c>
      <c r="C20" s="516">
        <v>44917</v>
      </c>
      <c r="D20" s="517">
        <v>47840</v>
      </c>
      <c r="E20" s="527" t="s">
        <v>47</v>
      </c>
      <c r="F20" s="540">
        <f>8*365</f>
        <v>2920</v>
      </c>
      <c r="G20" s="454"/>
      <c r="H20" s="511">
        <f t="shared" si="0"/>
        <v>1248102024</v>
      </c>
      <c r="I20" s="423">
        <v>427432.2</v>
      </c>
      <c r="J20" s="605">
        <v>5.5</v>
      </c>
      <c r="K20" s="593">
        <f t="shared" si="1"/>
        <v>2350877.1</v>
      </c>
      <c r="M20" s="4"/>
      <c r="N20" s="4"/>
      <c r="O20" s="4"/>
      <c r="P20" s="4"/>
    </row>
    <row r="21" spans="1:16" s="10" customFormat="1" ht="24.95" customHeight="1" x14ac:dyDescent="0.25">
      <c r="B21" s="515">
        <v>110000085524</v>
      </c>
      <c r="C21" s="516">
        <v>45030</v>
      </c>
      <c r="D21" s="516">
        <v>48683</v>
      </c>
      <c r="E21" s="527" t="s">
        <v>143</v>
      </c>
      <c r="F21" s="540">
        <f>10*365</f>
        <v>3650</v>
      </c>
      <c r="G21" s="454"/>
      <c r="H21" s="511">
        <f t="shared" si="0"/>
        <v>648637229.5</v>
      </c>
      <c r="I21" s="423">
        <v>177708.83</v>
      </c>
      <c r="J21" s="671">
        <v>5.8</v>
      </c>
      <c r="K21" s="593">
        <f t="shared" si="1"/>
        <v>1030711.21</v>
      </c>
      <c r="M21" s="4"/>
      <c r="N21" s="4"/>
      <c r="O21" s="4"/>
      <c r="P21" s="4"/>
    </row>
    <row r="22" spans="1:16" s="17" customFormat="1" ht="24.95" customHeight="1" x14ac:dyDescent="0.25">
      <c r="A22" s="10"/>
      <c r="B22" s="515">
        <v>110000086245</v>
      </c>
      <c r="C22" s="516">
        <v>45091</v>
      </c>
      <c r="D22" s="517">
        <v>48744</v>
      </c>
      <c r="E22" s="527" t="s">
        <v>143</v>
      </c>
      <c r="F22" s="540">
        <f>10*365</f>
        <v>3650</v>
      </c>
      <c r="G22" s="454"/>
      <c r="H22" s="511">
        <f t="shared" si="0"/>
        <v>63035455908</v>
      </c>
      <c r="I22" s="423">
        <v>17269987.920000002</v>
      </c>
      <c r="J22" s="605">
        <v>5.8</v>
      </c>
      <c r="K22" s="593">
        <f t="shared" si="1"/>
        <v>100165929.94</v>
      </c>
      <c r="M22" s="27"/>
      <c r="N22" s="27"/>
      <c r="O22" s="27"/>
      <c r="P22" s="27"/>
    </row>
    <row r="23" spans="1:16" s="17" customFormat="1" ht="24.95" customHeight="1" x14ac:dyDescent="0.25">
      <c r="A23" s="10"/>
      <c r="B23" s="515"/>
      <c r="C23" s="516"/>
      <c r="D23" s="517"/>
      <c r="E23" s="497"/>
      <c r="F23" s="512"/>
      <c r="G23" s="454"/>
      <c r="H23" s="511"/>
      <c r="I23" s="423"/>
      <c r="J23" s="605"/>
      <c r="K23" s="441"/>
      <c r="M23" s="27"/>
      <c r="N23" s="27"/>
      <c r="O23" s="27"/>
      <c r="P23" s="27"/>
    </row>
    <row r="24" spans="1:16" s="17" customFormat="1" ht="24.95" customHeight="1" x14ac:dyDescent="0.25">
      <c r="A24" s="10"/>
      <c r="B24" s="604" t="s">
        <v>37</v>
      </c>
      <c r="C24" s="516"/>
      <c r="D24" s="516"/>
      <c r="E24" s="497"/>
      <c r="F24" s="599">
        <f>+H24/I24</f>
        <v>1968</v>
      </c>
      <c r="G24" s="562">
        <f>+F24/365</f>
        <v>5.39</v>
      </c>
      <c r="H24" s="426">
        <f>SUM(H25:H34)</f>
        <v>120537910753.7</v>
      </c>
      <c r="I24" s="533">
        <f>SUM(I25:I34)</f>
        <v>61246927.659999996</v>
      </c>
      <c r="J24" s="563">
        <f>+K24/I24</f>
        <v>5.43</v>
      </c>
      <c r="K24" s="426">
        <f>SUM(K25:K34)</f>
        <v>332531246.86000001</v>
      </c>
      <c r="M24" s="27"/>
      <c r="N24" s="27"/>
      <c r="O24" s="27"/>
      <c r="P24" s="27"/>
    </row>
    <row r="25" spans="1:16" s="17" customFormat="1" ht="24.95" customHeight="1" x14ac:dyDescent="0.25">
      <c r="A25" s="10"/>
      <c r="B25" s="591" t="s">
        <v>90</v>
      </c>
      <c r="C25" s="517">
        <v>43340</v>
      </c>
      <c r="D25" s="517">
        <v>45530</v>
      </c>
      <c r="E25" s="527" t="s">
        <v>16</v>
      </c>
      <c r="F25" s="547">
        <f>6*365</f>
        <v>2190</v>
      </c>
      <c r="G25" s="516"/>
      <c r="H25" s="511">
        <f t="shared" ref="H25:H34" si="2">+F25*I25</f>
        <v>213859172.09999999</v>
      </c>
      <c r="I25" s="423">
        <v>97652.59</v>
      </c>
      <c r="J25" s="605">
        <v>4.9000000000000004</v>
      </c>
      <c r="K25" s="593">
        <f t="shared" ref="K25:K34" si="3">+I25*J25</f>
        <v>478497.69</v>
      </c>
      <c r="L25" s="27"/>
      <c r="M25" s="27"/>
      <c r="N25" s="27"/>
      <c r="O25" s="27"/>
    </row>
    <row r="26" spans="1:16" s="8" customFormat="1" ht="24.95" customHeight="1" x14ac:dyDescent="0.25">
      <c r="A26" s="10"/>
      <c r="B26" s="591" t="s">
        <v>67</v>
      </c>
      <c r="C26" s="517">
        <v>43017</v>
      </c>
      <c r="D26" s="516">
        <v>45574</v>
      </c>
      <c r="E26" s="527" t="s">
        <v>5</v>
      </c>
      <c r="F26" s="547">
        <f>7*365</f>
        <v>2555</v>
      </c>
      <c r="G26" s="516"/>
      <c r="H26" s="511">
        <f t="shared" si="2"/>
        <v>6042483147.75</v>
      </c>
      <c r="I26" s="423">
        <v>2364964.0499999998</v>
      </c>
      <c r="J26" s="605">
        <v>4.5</v>
      </c>
      <c r="K26" s="593">
        <f t="shared" si="3"/>
        <v>10642338.23</v>
      </c>
      <c r="M26" s="6"/>
      <c r="N26" s="6"/>
      <c r="O26" s="6"/>
      <c r="P26" s="6"/>
    </row>
    <row r="27" spans="1:16" s="8" customFormat="1" ht="24.95" customHeight="1" x14ac:dyDescent="0.25">
      <c r="A27" s="10"/>
      <c r="B27" s="591" t="s">
        <v>113</v>
      </c>
      <c r="C27" s="517">
        <v>43511</v>
      </c>
      <c r="D27" s="516">
        <v>45702</v>
      </c>
      <c r="E27" s="527" t="s">
        <v>16</v>
      </c>
      <c r="F27" s="547">
        <f>6*365</f>
        <v>2190</v>
      </c>
      <c r="G27" s="516"/>
      <c r="H27" s="511">
        <f t="shared" si="2"/>
        <v>601995237.29999995</v>
      </c>
      <c r="I27" s="423">
        <v>274883.67</v>
      </c>
      <c r="J27" s="605">
        <v>5</v>
      </c>
      <c r="K27" s="593">
        <f t="shared" si="3"/>
        <v>1374418.35</v>
      </c>
      <c r="M27" s="6"/>
      <c r="N27" s="6"/>
      <c r="O27" s="6"/>
      <c r="P27" s="6"/>
    </row>
    <row r="28" spans="1:16" s="8" customFormat="1" ht="24.95" customHeight="1" x14ac:dyDescent="0.25">
      <c r="A28" s="10"/>
      <c r="B28" s="591" t="s">
        <v>553</v>
      </c>
      <c r="C28" s="517">
        <v>45496</v>
      </c>
      <c r="D28" s="516">
        <v>45861</v>
      </c>
      <c r="E28" s="527" t="s">
        <v>444</v>
      </c>
      <c r="F28" s="547">
        <v>365</v>
      </c>
      <c r="G28" s="516"/>
      <c r="H28" s="511">
        <f t="shared" si="2"/>
        <v>4248703966.5999999</v>
      </c>
      <c r="I28" s="423">
        <v>11640284.84</v>
      </c>
      <c r="J28" s="605">
        <v>5.8</v>
      </c>
      <c r="K28" s="593">
        <f t="shared" si="3"/>
        <v>67513652.069999993</v>
      </c>
      <c r="M28" s="6"/>
      <c r="N28" s="6"/>
      <c r="O28" s="6"/>
      <c r="P28" s="6"/>
    </row>
    <row r="29" spans="1:16" s="8" customFormat="1" ht="24.95" customHeight="1" x14ac:dyDescent="0.25">
      <c r="A29" s="10"/>
      <c r="B29" s="591" t="s">
        <v>96</v>
      </c>
      <c r="C29" s="517">
        <v>43403</v>
      </c>
      <c r="D29" s="516">
        <v>45960</v>
      </c>
      <c r="E29" s="527" t="s">
        <v>5</v>
      </c>
      <c r="F29" s="547">
        <f>7*365</f>
        <v>2555</v>
      </c>
      <c r="G29" s="516"/>
      <c r="H29" s="511">
        <f t="shared" si="2"/>
        <v>11798631865.65</v>
      </c>
      <c r="I29" s="423">
        <v>4617859.83</v>
      </c>
      <c r="J29" s="605">
        <v>5</v>
      </c>
      <c r="K29" s="593">
        <f t="shared" si="3"/>
        <v>23089299.149999999</v>
      </c>
      <c r="M29" s="6"/>
      <c r="N29" s="6"/>
      <c r="O29" s="6"/>
      <c r="P29" s="6"/>
    </row>
    <row r="30" spans="1:16" s="17" customFormat="1" ht="24.95" customHeight="1" x14ac:dyDescent="0.25">
      <c r="A30" s="10"/>
      <c r="B30" s="591" t="s">
        <v>101</v>
      </c>
      <c r="C30" s="517">
        <v>43434</v>
      </c>
      <c r="D30" s="517">
        <v>45988</v>
      </c>
      <c r="E30" s="527" t="s">
        <v>5</v>
      </c>
      <c r="F30" s="547">
        <f>7*365</f>
        <v>2555</v>
      </c>
      <c r="G30" s="516"/>
      <c r="H30" s="511">
        <f t="shared" si="2"/>
        <v>4496800000</v>
      </c>
      <c r="I30" s="423">
        <v>1760000</v>
      </c>
      <c r="J30" s="605">
        <v>5.0999999999999996</v>
      </c>
      <c r="K30" s="593">
        <f t="shared" si="3"/>
        <v>8976000</v>
      </c>
      <c r="M30" s="27"/>
      <c r="N30" s="27"/>
      <c r="O30" s="27"/>
      <c r="P30" s="27"/>
    </row>
    <row r="31" spans="1:16" s="17" customFormat="1" ht="24.95" customHeight="1" x14ac:dyDescent="0.25">
      <c r="A31" s="10"/>
      <c r="B31" s="591" t="s">
        <v>106</v>
      </c>
      <c r="C31" s="517">
        <v>43452</v>
      </c>
      <c r="D31" s="517">
        <v>46007</v>
      </c>
      <c r="E31" s="527" t="s">
        <v>5</v>
      </c>
      <c r="F31" s="547">
        <f>7*365</f>
        <v>2555</v>
      </c>
      <c r="G31" s="516"/>
      <c r="H31" s="511">
        <f t="shared" si="2"/>
        <v>1911859488</v>
      </c>
      <c r="I31" s="423">
        <v>748281.6</v>
      </c>
      <c r="J31" s="605">
        <v>5.0999999999999996</v>
      </c>
      <c r="K31" s="593">
        <f t="shared" si="3"/>
        <v>3816236.16</v>
      </c>
      <c r="M31" s="27"/>
      <c r="N31" s="27"/>
      <c r="O31" s="27"/>
      <c r="P31" s="27"/>
    </row>
    <row r="32" spans="1:16" s="17" customFormat="1" ht="24.95" customHeight="1" x14ac:dyDescent="0.25">
      <c r="A32" s="10"/>
      <c r="B32" s="591" t="s">
        <v>559</v>
      </c>
      <c r="C32" s="517">
        <v>45496</v>
      </c>
      <c r="D32" s="517">
        <v>46956</v>
      </c>
      <c r="E32" s="527" t="s">
        <v>546</v>
      </c>
      <c r="F32" s="440">
        <v>1460</v>
      </c>
      <c r="G32" s="516"/>
      <c r="H32" s="511">
        <f t="shared" si="2"/>
        <v>15472786510.799999</v>
      </c>
      <c r="I32" s="423">
        <v>10597798.98</v>
      </c>
      <c r="J32" s="605">
        <v>5.8</v>
      </c>
      <c r="K32" s="593">
        <f t="shared" si="3"/>
        <v>61467234.079999998</v>
      </c>
      <c r="M32" s="27"/>
      <c r="N32" s="27"/>
      <c r="O32" s="27"/>
      <c r="P32" s="27"/>
    </row>
    <row r="33" spans="1:16" s="17" customFormat="1" ht="24.95" customHeight="1" x14ac:dyDescent="0.25">
      <c r="A33" s="10"/>
      <c r="B33" s="591" t="s">
        <v>215</v>
      </c>
      <c r="C33" s="517" t="s">
        <v>217</v>
      </c>
      <c r="D33" s="517" t="s">
        <v>218</v>
      </c>
      <c r="E33" s="527" t="s">
        <v>5</v>
      </c>
      <c r="F33" s="547">
        <f>7*365</f>
        <v>2555</v>
      </c>
      <c r="G33" s="516"/>
      <c r="H33" s="511">
        <f t="shared" si="2"/>
        <v>69969191365.5</v>
      </c>
      <c r="I33" s="423">
        <v>27385202.100000001</v>
      </c>
      <c r="J33" s="605">
        <v>5.3</v>
      </c>
      <c r="K33" s="593">
        <f t="shared" si="3"/>
        <v>145141571.13</v>
      </c>
      <c r="M33" s="27"/>
      <c r="N33" s="27"/>
      <c r="O33" s="27"/>
      <c r="P33" s="27"/>
    </row>
    <row r="34" spans="1:16" s="17" customFormat="1" ht="24.95" customHeight="1" x14ac:dyDescent="0.25">
      <c r="A34" s="10"/>
      <c r="B34" s="591" t="s">
        <v>329</v>
      </c>
      <c r="C34" s="517">
        <v>45091</v>
      </c>
      <c r="D34" s="517">
        <v>48379</v>
      </c>
      <c r="E34" s="527" t="s">
        <v>144</v>
      </c>
      <c r="F34" s="547">
        <f>9*365</f>
        <v>3285</v>
      </c>
      <c r="G34" s="516"/>
      <c r="H34" s="511">
        <f t="shared" si="2"/>
        <v>5781600000</v>
      </c>
      <c r="I34" s="423">
        <v>1760000</v>
      </c>
      <c r="J34" s="605">
        <v>5.7</v>
      </c>
      <c r="K34" s="593">
        <f t="shared" si="3"/>
        <v>10032000</v>
      </c>
      <c r="M34" s="27"/>
      <c r="N34" s="27"/>
      <c r="O34" s="27"/>
      <c r="P34" s="27"/>
    </row>
    <row r="35" spans="1:16" s="17" customFormat="1" ht="9" customHeight="1" x14ac:dyDescent="0.25">
      <c r="A35" s="10"/>
      <c r="B35" s="591"/>
      <c r="C35" s="517"/>
      <c r="D35" s="517"/>
      <c r="E35" s="497"/>
      <c r="F35" s="511"/>
      <c r="G35" s="516"/>
      <c r="H35" s="511"/>
      <c r="I35" s="423"/>
      <c r="J35" s="605"/>
      <c r="K35" s="441"/>
      <c r="M35" s="27"/>
      <c r="N35" s="27"/>
      <c r="O35" s="27"/>
      <c r="P35" s="27"/>
    </row>
    <row r="36" spans="1:16" s="17" customFormat="1" ht="24.95" customHeight="1" x14ac:dyDescent="0.25">
      <c r="A36" s="10"/>
      <c r="B36" s="608" t="s">
        <v>599</v>
      </c>
      <c r="C36" s="318"/>
      <c r="D36" s="318"/>
      <c r="E36" s="612"/>
      <c r="F36" s="613">
        <f>+H36/I36</f>
        <v>587</v>
      </c>
      <c r="G36" s="565">
        <f>+F36/365</f>
        <v>1.61</v>
      </c>
      <c r="H36" s="537">
        <f>+H38+H40+H42</f>
        <v>31851262227.450001</v>
      </c>
      <c r="I36" s="560">
        <f>+I38+I40+I42</f>
        <v>54263732.130000003</v>
      </c>
      <c r="J36" s="610">
        <f>+K36/I36</f>
        <v>6.36</v>
      </c>
      <c r="K36" s="447">
        <f>+K38+K40+K42</f>
        <v>344876899.93000001</v>
      </c>
      <c r="M36" s="27"/>
      <c r="N36" s="27"/>
      <c r="O36" s="27"/>
      <c r="P36" s="27"/>
    </row>
    <row r="37" spans="1:16" s="17" customFormat="1" ht="24.95" customHeight="1" x14ac:dyDescent="0.25">
      <c r="A37" s="10"/>
      <c r="B37" s="531" t="s">
        <v>357</v>
      </c>
      <c r="C37" s="517"/>
      <c r="D37" s="517"/>
      <c r="E37" s="497"/>
      <c r="F37" s="497"/>
      <c r="G37" s="516"/>
      <c r="H37" s="497"/>
      <c r="I37" s="586">
        <f>SUM(I38)</f>
        <v>13000000</v>
      </c>
      <c r="J37" s="605"/>
      <c r="K37" s="28"/>
      <c r="M37" s="27"/>
      <c r="N37" s="27"/>
      <c r="O37" s="27"/>
      <c r="P37" s="27"/>
    </row>
    <row r="38" spans="1:16" s="17" customFormat="1" ht="24.95" customHeight="1" x14ac:dyDescent="0.25">
      <c r="A38" s="10"/>
      <c r="B38" s="596">
        <v>1710140460</v>
      </c>
      <c r="C38" s="517">
        <v>44925</v>
      </c>
      <c r="D38" s="517">
        <v>45656</v>
      </c>
      <c r="E38" s="527" t="s">
        <v>8</v>
      </c>
      <c r="F38" s="547">
        <f>2*365</f>
        <v>730</v>
      </c>
      <c r="G38" s="516"/>
      <c r="H38" s="512">
        <f>+F38*I38</f>
        <v>9490000000</v>
      </c>
      <c r="I38" s="423">
        <v>13000000</v>
      </c>
      <c r="J38" s="605">
        <v>6.6</v>
      </c>
      <c r="K38" s="593">
        <f t="shared" ref="K38" si="4">+I38*J38</f>
        <v>85800000</v>
      </c>
      <c r="M38" s="27"/>
      <c r="N38" s="27"/>
      <c r="O38" s="27"/>
      <c r="P38" s="27"/>
    </row>
    <row r="39" spans="1:16" s="17" customFormat="1" ht="24.95" customHeight="1" x14ac:dyDescent="0.25">
      <c r="A39" s="10"/>
      <c r="B39" s="531" t="s">
        <v>38</v>
      </c>
      <c r="C39" s="517"/>
      <c r="D39" s="517"/>
      <c r="E39" s="497"/>
      <c r="F39" s="547"/>
      <c r="G39" s="516"/>
      <c r="H39" s="497"/>
      <c r="I39" s="586">
        <f>SUM(I40)</f>
        <v>20000000</v>
      </c>
      <c r="J39" s="605"/>
      <c r="M39" s="27"/>
      <c r="N39" s="27"/>
      <c r="O39" s="27"/>
      <c r="P39" s="27"/>
    </row>
    <row r="40" spans="1:16" s="17" customFormat="1" ht="24.95" customHeight="1" x14ac:dyDescent="0.25">
      <c r="A40" s="10"/>
      <c r="B40" s="596">
        <v>258906537</v>
      </c>
      <c r="C40" s="517">
        <v>44925</v>
      </c>
      <c r="D40" s="517">
        <v>45656</v>
      </c>
      <c r="E40" s="527" t="s">
        <v>8</v>
      </c>
      <c r="F40" s="547">
        <f>2*365</f>
        <v>730</v>
      </c>
      <c r="G40" s="516"/>
      <c r="H40" s="512">
        <f>+F40*I40</f>
        <v>14600000000</v>
      </c>
      <c r="I40" s="423">
        <v>20000000</v>
      </c>
      <c r="J40" s="605">
        <v>7</v>
      </c>
      <c r="K40" s="593">
        <f t="shared" ref="K40" si="5">+I40*J40</f>
        <v>140000000</v>
      </c>
      <c r="M40" s="27"/>
      <c r="N40" s="27"/>
      <c r="O40" s="27"/>
      <c r="P40" s="27"/>
    </row>
    <row r="41" spans="1:16" s="17" customFormat="1" ht="24.95" customHeight="1" x14ac:dyDescent="0.25">
      <c r="A41" s="10"/>
      <c r="B41" s="531" t="s">
        <v>356</v>
      </c>
      <c r="C41" s="517"/>
      <c r="D41" s="517"/>
      <c r="E41" s="497"/>
      <c r="F41" s="547"/>
      <c r="G41" s="516"/>
      <c r="H41" s="497"/>
      <c r="I41" s="586">
        <f>SUM(I42)</f>
        <v>21263732.129999999</v>
      </c>
      <c r="J41" s="605"/>
      <c r="M41" s="27"/>
      <c r="N41" s="27"/>
      <c r="O41" s="27"/>
      <c r="P41" s="27"/>
    </row>
    <row r="42" spans="1:16" s="17" customFormat="1" ht="24.95" customHeight="1" x14ac:dyDescent="0.25">
      <c r="A42" s="10"/>
      <c r="B42" s="596" t="s">
        <v>487</v>
      </c>
      <c r="C42" s="517">
        <v>45446</v>
      </c>
      <c r="D42" s="517">
        <v>45838</v>
      </c>
      <c r="E42" s="527" t="s">
        <v>199</v>
      </c>
      <c r="F42" s="547">
        <v>365</v>
      </c>
      <c r="G42" s="516"/>
      <c r="H42" s="512">
        <f>+F42*I42</f>
        <v>7761262227.4499998</v>
      </c>
      <c r="I42" s="423">
        <v>21263732.129999999</v>
      </c>
      <c r="J42" s="605">
        <v>5.6</v>
      </c>
      <c r="K42" s="593">
        <f t="shared" ref="K42" si="6">+I42*J42</f>
        <v>119076899.93000001</v>
      </c>
      <c r="M42" s="27"/>
      <c r="N42" s="27"/>
      <c r="O42" s="27"/>
      <c r="P42" s="27"/>
    </row>
    <row r="43" spans="1:16" s="17" customFormat="1" ht="9" customHeight="1" x14ac:dyDescent="0.25">
      <c r="A43" s="10"/>
      <c r="B43" s="596"/>
      <c r="C43" s="517"/>
      <c r="D43" s="517"/>
      <c r="E43" s="497"/>
      <c r="F43" s="547"/>
      <c r="G43" s="516"/>
      <c r="H43" s="497"/>
      <c r="I43" s="423"/>
      <c r="J43" s="605"/>
      <c r="M43" s="27"/>
      <c r="N43" s="27"/>
      <c r="O43" s="27"/>
      <c r="P43" s="27"/>
    </row>
    <row r="44" spans="1:16" s="17" customFormat="1" ht="24.95" customHeight="1" x14ac:dyDescent="0.25">
      <c r="A44" s="10"/>
      <c r="B44" s="608" t="s">
        <v>69</v>
      </c>
      <c r="C44" s="319"/>
      <c r="D44" s="319"/>
      <c r="E44" s="446"/>
      <c r="F44" s="606"/>
      <c r="G44" s="319"/>
      <c r="H44" s="446"/>
      <c r="I44" s="560">
        <f>SUM(I46)+I57+I68</f>
        <v>10796414.029999999</v>
      </c>
      <c r="J44" s="680"/>
      <c r="M44" s="27"/>
      <c r="N44" s="27"/>
      <c r="O44" s="27"/>
      <c r="P44" s="27"/>
    </row>
    <row r="45" spans="1:16" s="17" customFormat="1" ht="17.25" customHeight="1" x14ac:dyDescent="0.25">
      <c r="A45" s="10"/>
      <c r="B45" s="505"/>
      <c r="C45" s="516"/>
      <c r="D45" s="516"/>
      <c r="E45" s="497"/>
      <c r="F45" s="547"/>
      <c r="G45" s="516"/>
      <c r="H45" s="497"/>
      <c r="I45" s="533"/>
      <c r="J45" s="605"/>
      <c r="M45" s="27"/>
      <c r="N45" s="27"/>
      <c r="O45" s="27"/>
      <c r="P45" s="27"/>
    </row>
    <row r="46" spans="1:16" s="17" customFormat="1" ht="24.95" customHeight="1" x14ac:dyDescent="0.25">
      <c r="A46" s="14"/>
      <c r="B46" s="592" t="s">
        <v>54</v>
      </c>
      <c r="C46" s="516"/>
      <c r="D46" s="516"/>
      <c r="E46" s="497"/>
      <c r="F46" s="440">
        <f>+H46/I46</f>
        <v>2134</v>
      </c>
      <c r="G46" s="562">
        <f>+F46/365</f>
        <v>5.85</v>
      </c>
      <c r="H46" s="426">
        <f>SUM(H47:H55)</f>
        <v>8271659204.3500004</v>
      </c>
      <c r="I46" s="533">
        <f>SUM(I47:I55)</f>
        <v>3875720.54</v>
      </c>
      <c r="J46" s="563">
        <f>+K46/I46</f>
        <v>3.92</v>
      </c>
      <c r="K46" s="426">
        <f>SUM(K47:K55)</f>
        <v>15211400.48</v>
      </c>
      <c r="M46" s="27"/>
      <c r="N46" s="27"/>
      <c r="O46" s="27"/>
      <c r="P46" s="27"/>
    </row>
    <row r="47" spans="1:16" s="17" customFormat="1" ht="24.95" customHeight="1" x14ac:dyDescent="0.25">
      <c r="A47" s="10"/>
      <c r="B47" s="515">
        <v>150000173561</v>
      </c>
      <c r="C47" s="516">
        <v>45504</v>
      </c>
      <c r="D47" s="517">
        <v>45505</v>
      </c>
      <c r="E47" s="527" t="s">
        <v>587</v>
      </c>
      <c r="F47" s="547">
        <v>1</v>
      </c>
      <c r="G47" s="516"/>
      <c r="H47" s="512">
        <f t="shared" ref="H47:H55" si="7">+F47*I47</f>
        <v>773356.42</v>
      </c>
      <c r="I47" s="423">
        <v>773356.42</v>
      </c>
      <c r="J47" s="605">
        <v>3.3</v>
      </c>
      <c r="K47" s="593">
        <f t="shared" ref="K47:K55" si="8">+I47*J47</f>
        <v>2552076.19</v>
      </c>
      <c r="M47" s="27"/>
      <c r="N47" s="27"/>
      <c r="O47" s="27"/>
      <c r="P47" s="27"/>
    </row>
    <row r="48" spans="1:16" s="17" customFormat="1" ht="24.95" customHeight="1" x14ac:dyDescent="0.25">
      <c r="A48" s="10"/>
      <c r="B48" s="515">
        <v>150000173570</v>
      </c>
      <c r="C48" s="516">
        <v>45504</v>
      </c>
      <c r="D48" s="517">
        <v>45505</v>
      </c>
      <c r="E48" s="527" t="s">
        <v>587</v>
      </c>
      <c r="F48" s="547">
        <v>1</v>
      </c>
      <c r="G48" s="516"/>
      <c r="H48" s="512">
        <f t="shared" si="7"/>
        <v>327593.78000000003</v>
      </c>
      <c r="I48" s="423">
        <v>327593.78000000003</v>
      </c>
      <c r="J48" s="605">
        <v>3.3</v>
      </c>
      <c r="K48" s="593">
        <f t="shared" si="8"/>
        <v>1081059.47</v>
      </c>
      <c r="M48" s="27"/>
      <c r="N48" s="27"/>
      <c r="O48" s="27"/>
      <c r="P48" s="27"/>
    </row>
    <row r="49" spans="1:16" s="17" customFormat="1" ht="24.95" customHeight="1" x14ac:dyDescent="0.25">
      <c r="A49" s="10"/>
      <c r="B49" s="515">
        <v>110000058115</v>
      </c>
      <c r="C49" s="516" t="s">
        <v>80</v>
      </c>
      <c r="D49" s="516">
        <v>45707</v>
      </c>
      <c r="E49" s="527" t="s">
        <v>5</v>
      </c>
      <c r="F49" s="547">
        <f>7*365</f>
        <v>2555</v>
      </c>
      <c r="G49" s="516"/>
      <c r="H49" s="512">
        <f t="shared" si="7"/>
        <v>1910791038.0999999</v>
      </c>
      <c r="I49" s="423">
        <v>747863.42</v>
      </c>
      <c r="J49" s="605">
        <v>3.2</v>
      </c>
      <c r="K49" s="593">
        <f t="shared" si="8"/>
        <v>2393162.94</v>
      </c>
      <c r="M49" s="27"/>
      <c r="N49" s="27"/>
      <c r="O49" s="27"/>
      <c r="P49" s="27"/>
    </row>
    <row r="50" spans="1:16" s="8" customFormat="1" ht="24.95" customHeight="1" x14ac:dyDescent="0.25">
      <c r="A50" s="10"/>
      <c r="B50" s="515">
        <v>110000053333</v>
      </c>
      <c r="C50" s="516">
        <v>42916</v>
      </c>
      <c r="D50" s="517">
        <v>45838</v>
      </c>
      <c r="E50" s="527" t="s">
        <v>47</v>
      </c>
      <c r="F50" s="547">
        <f>8*365</f>
        <v>2920</v>
      </c>
      <c r="G50" s="516"/>
      <c r="H50" s="512">
        <f t="shared" si="7"/>
        <v>2119461297.2</v>
      </c>
      <c r="I50" s="423">
        <v>725842.91</v>
      </c>
      <c r="J50" s="671">
        <v>3.3</v>
      </c>
      <c r="K50" s="593">
        <f t="shared" si="8"/>
        <v>2395281.6</v>
      </c>
      <c r="M50" s="6"/>
      <c r="N50" s="6"/>
      <c r="O50" s="6"/>
      <c r="P50" s="6"/>
    </row>
    <row r="51" spans="1:16" s="8" customFormat="1" ht="24.95" customHeight="1" x14ac:dyDescent="0.25">
      <c r="A51" s="10"/>
      <c r="B51" s="515">
        <v>110000083860</v>
      </c>
      <c r="C51" s="517">
        <v>44895</v>
      </c>
      <c r="D51" s="517">
        <v>45992</v>
      </c>
      <c r="E51" s="527" t="s">
        <v>9</v>
      </c>
      <c r="F51" s="547">
        <f>3*365</f>
        <v>1095</v>
      </c>
      <c r="G51" s="516"/>
      <c r="H51" s="512">
        <f t="shared" si="7"/>
        <v>48733763.399999999</v>
      </c>
      <c r="I51" s="423">
        <v>44505.72</v>
      </c>
      <c r="J51" s="605">
        <v>4.2</v>
      </c>
      <c r="K51" s="593">
        <f t="shared" si="8"/>
        <v>186924.02</v>
      </c>
      <c r="M51" s="6"/>
      <c r="N51" s="6"/>
      <c r="O51" s="6"/>
      <c r="P51" s="6"/>
    </row>
    <row r="52" spans="1:16" s="8" customFormat="1" ht="24.95" customHeight="1" x14ac:dyDescent="0.25">
      <c r="A52" s="10"/>
      <c r="B52" s="515">
        <v>110000083904</v>
      </c>
      <c r="C52" s="517">
        <v>44895</v>
      </c>
      <c r="D52" s="517">
        <v>45992</v>
      </c>
      <c r="E52" s="527" t="s">
        <v>9</v>
      </c>
      <c r="F52" s="547">
        <f>3*365</f>
        <v>1095</v>
      </c>
      <c r="G52" s="516"/>
      <c r="H52" s="512">
        <f t="shared" si="7"/>
        <v>92146516.650000006</v>
      </c>
      <c r="I52" s="423">
        <v>84152.07</v>
      </c>
      <c r="J52" s="605">
        <v>4.2</v>
      </c>
      <c r="K52" s="593">
        <f t="shared" si="8"/>
        <v>353438.69</v>
      </c>
      <c r="M52" s="6"/>
      <c r="N52" s="6"/>
      <c r="O52" s="6"/>
      <c r="P52" s="6"/>
    </row>
    <row r="53" spans="1:16" s="8" customFormat="1" ht="24.95" customHeight="1" x14ac:dyDescent="0.25">
      <c r="A53" s="10"/>
      <c r="B53" s="515">
        <v>110000058616</v>
      </c>
      <c r="C53" s="516" t="s">
        <v>75</v>
      </c>
      <c r="D53" s="517">
        <v>46020</v>
      </c>
      <c r="E53" s="527" t="s">
        <v>47</v>
      </c>
      <c r="F53" s="547">
        <f>8*365</f>
        <v>2920</v>
      </c>
      <c r="G53" s="516"/>
      <c r="H53" s="512">
        <f t="shared" si="7"/>
        <v>632557789.60000002</v>
      </c>
      <c r="I53" s="423">
        <v>216629.38</v>
      </c>
      <c r="J53" s="605">
        <v>3.3</v>
      </c>
      <c r="K53" s="593">
        <f t="shared" si="8"/>
        <v>714876.95</v>
      </c>
      <c r="M53" s="6"/>
      <c r="N53" s="6"/>
      <c r="O53" s="6"/>
      <c r="P53" s="6"/>
    </row>
    <row r="54" spans="1:16" s="10" customFormat="1" ht="24.95" customHeight="1" x14ac:dyDescent="0.25">
      <c r="B54" s="515">
        <v>110000084115</v>
      </c>
      <c r="C54" s="516">
        <v>44917</v>
      </c>
      <c r="D54" s="517">
        <v>47840</v>
      </c>
      <c r="E54" s="527" t="s">
        <v>47</v>
      </c>
      <c r="F54" s="547">
        <f>8*365</f>
        <v>2920</v>
      </c>
      <c r="G54" s="516"/>
      <c r="H54" s="512">
        <f t="shared" si="7"/>
        <v>86870467.200000003</v>
      </c>
      <c r="I54" s="423">
        <v>29750.16</v>
      </c>
      <c r="J54" s="605">
        <v>5.5</v>
      </c>
      <c r="K54" s="593">
        <f t="shared" si="8"/>
        <v>163625.88</v>
      </c>
      <c r="M54" s="4"/>
      <c r="N54" s="4"/>
      <c r="O54" s="4"/>
      <c r="P54" s="4"/>
    </row>
    <row r="55" spans="1:16" s="10" customFormat="1" ht="24.95" customHeight="1" x14ac:dyDescent="0.25">
      <c r="B55" s="515">
        <v>110000086254</v>
      </c>
      <c r="C55" s="516">
        <v>45091</v>
      </c>
      <c r="D55" s="517">
        <v>48744</v>
      </c>
      <c r="E55" s="527" t="s">
        <v>143</v>
      </c>
      <c r="F55" s="547">
        <f>10*365</f>
        <v>3650</v>
      </c>
      <c r="G55" s="516"/>
      <c r="H55" s="512">
        <f t="shared" si="7"/>
        <v>3379997382</v>
      </c>
      <c r="I55" s="423">
        <v>926026.68</v>
      </c>
      <c r="J55" s="605">
        <v>5.8</v>
      </c>
      <c r="K55" s="593">
        <f t="shared" si="8"/>
        <v>5370954.7400000002</v>
      </c>
      <c r="M55" s="4"/>
      <c r="N55" s="4"/>
      <c r="O55" s="4"/>
      <c r="P55" s="4"/>
    </row>
    <row r="56" spans="1:16" s="10" customFormat="1" ht="13.5" customHeight="1" x14ac:dyDescent="0.25">
      <c r="B56" s="515"/>
      <c r="C56" s="516"/>
      <c r="D56" s="517"/>
      <c r="E56" s="497"/>
      <c r="F56" s="547"/>
      <c r="G56" s="516"/>
      <c r="H56" s="497"/>
      <c r="I56" s="423"/>
      <c r="J56" s="605"/>
      <c r="K56" s="441"/>
      <c r="M56" s="4"/>
      <c r="N56" s="4"/>
      <c r="O56" s="4"/>
      <c r="P56" s="4"/>
    </row>
    <row r="57" spans="1:16" s="10" customFormat="1" ht="24.95" customHeight="1" x14ac:dyDescent="0.25">
      <c r="B57" s="608" t="s">
        <v>37</v>
      </c>
      <c r="C57" s="318"/>
      <c r="D57" s="318"/>
      <c r="E57" s="445"/>
      <c r="F57" s="609">
        <f>+H57/I57</f>
        <v>2294</v>
      </c>
      <c r="G57" s="565">
        <f>+F57/365</f>
        <v>6.28</v>
      </c>
      <c r="H57" s="537">
        <f>SUM(H58:H66)</f>
        <v>14972176429.25</v>
      </c>
      <c r="I57" s="560">
        <f>SUM(I58:I66)</f>
        <v>6527778.1699999999</v>
      </c>
      <c r="J57" s="610">
        <f>+K57/I57</f>
        <v>5.35</v>
      </c>
      <c r="K57" s="594">
        <f>SUM(K58:K66)</f>
        <v>34925346.200000003</v>
      </c>
      <c r="M57" s="4"/>
      <c r="N57" s="4"/>
      <c r="O57" s="4"/>
      <c r="P57" s="4"/>
    </row>
    <row r="58" spans="1:16" s="17" customFormat="1" ht="24.95" customHeight="1" x14ac:dyDescent="0.25">
      <c r="A58" s="10"/>
      <c r="B58" s="591" t="s">
        <v>90</v>
      </c>
      <c r="C58" s="517">
        <v>43340</v>
      </c>
      <c r="D58" s="517">
        <v>45530</v>
      </c>
      <c r="E58" s="527" t="s">
        <v>16</v>
      </c>
      <c r="F58" s="547">
        <f>6*365</f>
        <v>2190</v>
      </c>
      <c r="G58" s="516"/>
      <c r="H58" s="512">
        <f t="shared" ref="H58:H66" si="9">+F58*I58</f>
        <v>16446024</v>
      </c>
      <c r="I58" s="423">
        <v>7509.6</v>
      </c>
      <c r="J58" s="605">
        <v>4.9000000000000004</v>
      </c>
      <c r="K58" s="593">
        <f t="shared" ref="K58:K66" si="10">+I58*J58</f>
        <v>36797.040000000001</v>
      </c>
      <c r="L58" s="27"/>
      <c r="M58" s="27"/>
      <c r="N58" s="27"/>
      <c r="O58" s="27"/>
    </row>
    <row r="59" spans="1:16" s="8" customFormat="1" ht="24.95" customHeight="1" x14ac:dyDescent="0.25">
      <c r="A59" s="10"/>
      <c r="B59" s="591" t="s">
        <v>68</v>
      </c>
      <c r="C59" s="517">
        <v>43017</v>
      </c>
      <c r="D59" s="516">
        <v>45574</v>
      </c>
      <c r="E59" s="527" t="s">
        <v>5</v>
      </c>
      <c r="F59" s="547">
        <f>7*365</f>
        <v>2555</v>
      </c>
      <c r="G59" s="516"/>
      <c r="H59" s="512">
        <f t="shared" si="9"/>
        <v>439441348.5</v>
      </c>
      <c r="I59" s="423">
        <v>171992.7</v>
      </c>
      <c r="J59" s="605">
        <v>4.5</v>
      </c>
      <c r="K59" s="593">
        <f t="shared" si="10"/>
        <v>773967.15</v>
      </c>
      <c r="M59" s="6"/>
      <c r="N59" s="6"/>
      <c r="O59" s="6"/>
      <c r="P59" s="6"/>
    </row>
    <row r="60" spans="1:16" s="8" customFormat="1" ht="24.95" customHeight="1" x14ac:dyDescent="0.25">
      <c r="A60" s="10"/>
      <c r="B60" s="591" t="s">
        <v>114</v>
      </c>
      <c r="C60" s="517">
        <v>43511</v>
      </c>
      <c r="D60" s="516">
        <v>45702</v>
      </c>
      <c r="E60" s="527" t="s">
        <v>16</v>
      </c>
      <c r="F60" s="547">
        <f>6*365</f>
        <v>2190</v>
      </c>
      <c r="G60" s="516"/>
      <c r="H60" s="512">
        <f t="shared" si="9"/>
        <v>286212457.80000001</v>
      </c>
      <c r="I60" s="423">
        <v>130690.62</v>
      </c>
      <c r="J60" s="605">
        <v>5</v>
      </c>
      <c r="K60" s="593">
        <f t="shared" si="10"/>
        <v>653453.1</v>
      </c>
      <c r="M60" s="6"/>
      <c r="N60" s="6"/>
      <c r="O60" s="6"/>
      <c r="P60" s="6"/>
    </row>
    <row r="61" spans="1:16" s="8" customFormat="1" ht="24.95" customHeight="1" x14ac:dyDescent="0.25">
      <c r="A61" s="10"/>
      <c r="B61" s="591" t="s">
        <v>557</v>
      </c>
      <c r="C61" s="517">
        <v>45496</v>
      </c>
      <c r="D61" s="516">
        <v>45861</v>
      </c>
      <c r="E61" s="527" t="s">
        <v>444</v>
      </c>
      <c r="F61" s="547">
        <v>365</v>
      </c>
      <c r="G61" s="516"/>
      <c r="H61" s="512">
        <f t="shared" si="9"/>
        <v>325372285.80000001</v>
      </c>
      <c r="I61" s="423">
        <v>891430.92</v>
      </c>
      <c r="J61" s="605">
        <v>5.8</v>
      </c>
      <c r="K61" s="593">
        <f t="shared" si="10"/>
        <v>5170299.34</v>
      </c>
      <c r="M61" s="6"/>
      <c r="N61" s="6"/>
      <c r="O61" s="6"/>
      <c r="P61" s="6"/>
    </row>
    <row r="62" spans="1:16" s="8" customFormat="1" ht="24.95" customHeight="1" x14ac:dyDescent="0.25">
      <c r="A62" s="10"/>
      <c r="B62" s="591" t="s">
        <v>97</v>
      </c>
      <c r="C62" s="517">
        <v>43403</v>
      </c>
      <c r="D62" s="516">
        <v>45960</v>
      </c>
      <c r="E62" s="527" t="s">
        <v>5</v>
      </c>
      <c r="F62" s="547">
        <f>7*365</f>
        <v>2555</v>
      </c>
      <c r="G62" s="516"/>
      <c r="H62" s="512">
        <f t="shared" si="9"/>
        <v>537693107</v>
      </c>
      <c r="I62" s="423">
        <v>210447.4</v>
      </c>
      <c r="J62" s="605">
        <v>5</v>
      </c>
      <c r="K62" s="593">
        <f t="shared" si="10"/>
        <v>1052237</v>
      </c>
      <c r="M62" s="6"/>
      <c r="N62" s="6"/>
      <c r="O62" s="6"/>
      <c r="P62" s="6"/>
    </row>
    <row r="63" spans="1:16" s="17" customFormat="1" ht="24.95" customHeight="1" x14ac:dyDescent="0.25">
      <c r="A63" s="10"/>
      <c r="B63" s="591" t="s">
        <v>102</v>
      </c>
      <c r="C63" s="517">
        <v>43434</v>
      </c>
      <c r="D63" s="517">
        <v>45988</v>
      </c>
      <c r="E63" s="527" t="s">
        <v>5</v>
      </c>
      <c r="F63" s="547">
        <f>7*365</f>
        <v>2555</v>
      </c>
      <c r="G63" s="516"/>
      <c r="H63" s="512">
        <f t="shared" si="9"/>
        <v>332150000</v>
      </c>
      <c r="I63" s="423">
        <v>130000</v>
      </c>
      <c r="J63" s="605">
        <v>5.0999999999999996</v>
      </c>
      <c r="K63" s="593">
        <f t="shared" si="10"/>
        <v>663000</v>
      </c>
      <c r="M63" s="27"/>
      <c r="N63" s="27"/>
      <c r="O63" s="27"/>
      <c r="P63" s="27"/>
    </row>
    <row r="64" spans="1:16" s="17" customFormat="1" ht="24.95" customHeight="1" x14ac:dyDescent="0.25">
      <c r="A64" s="10"/>
      <c r="B64" s="591" t="s">
        <v>107</v>
      </c>
      <c r="C64" s="517">
        <v>43452</v>
      </c>
      <c r="D64" s="517">
        <v>46007</v>
      </c>
      <c r="E64" s="527" t="s">
        <v>5</v>
      </c>
      <c r="F64" s="547">
        <f>7*365</f>
        <v>2555</v>
      </c>
      <c r="G64" s="516"/>
      <c r="H64" s="512">
        <f t="shared" si="9"/>
        <v>141216894</v>
      </c>
      <c r="I64" s="423">
        <v>55270.8</v>
      </c>
      <c r="J64" s="605">
        <v>5.0999999999999996</v>
      </c>
      <c r="K64" s="593">
        <f t="shared" si="10"/>
        <v>281881.08</v>
      </c>
      <c r="M64" s="27"/>
      <c r="N64" s="27"/>
      <c r="O64" s="27"/>
      <c r="P64" s="27"/>
    </row>
    <row r="65" spans="1:16" s="17" customFormat="1" ht="24.95" customHeight="1" x14ac:dyDescent="0.25">
      <c r="A65" s="10"/>
      <c r="B65" s="591" t="s">
        <v>216</v>
      </c>
      <c r="C65" s="517" t="s">
        <v>217</v>
      </c>
      <c r="D65" s="517" t="s">
        <v>218</v>
      </c>
      <c r="E65" s="527" t="s">
        <v>5</v>
      </c>
      <c r="F65" s="547">
        <f>7*365</f>
        <v>2555</v>
      </c>
      <c r="G65" s="516"/>
      <c r="H65" s="512">
        <f t="shared" si="9"/>
        <v>11559934312.15</v>
      </c>
      <c r="I65" s="423">
        <v>4524436.13</v>
      </c>
      <c r="J65" s="605">
        <v>5.3</v>
      </c>
      <c r="K65" s="593">
        <f t="shared" si="10"/>
        <v>23979511.489999998</v>
      </c>
      <c r="M65" s="27"/>
      <c r="N65" s="27"/>
      <c r="O65" s="27"/>
      <c r="P65" s="27"/>
    </row>
    <row r="66" spans="1:16" s="17" customFormat="1" ht="24.95" customHeight="1" x14ac:dyDescent="0.25">
      <c r="A66" s="10"/>
      <c r="B66" s="591" t="s">
        <v>324</v>
      </c>
      <c r="C66" s="517">
        <v>45091</v>
      </c>
      <c r="D66" s="517">
        <v>48379</v>
      </c>
      <c r="E66" s="527" t="s">
        <v>144</v>
      </c>
      <c r="F66" s="547">
        <f>9*365</f>
        <v>3285</v>
      </c>
      <c r="G66" s="516"/>
      <c r="H66" s="512">
        <f t="shared" si="9"/>
        <v>1333710000</v>
      </c>
      <c r="I66" s="423">
        <v>406000</v>
      </c>
      <c r="J66" s="605">
        <v>5.7</v>
      </c>
      <c r="K66" s="593">
        <f t="shared" si="10"/>
        <v>2314200</v>
      </c>
      <c r="M66" s="27"/>
      <c r="N66" s="27"/>
      <c r="O66" s="27"/>
      <c r="P66" s="27"/>
    </row>
    <row r="67" spans="1:16" s="17" customFormat="1" ht="14.25" customHeight="1" x14ac:dyDescent="0.25">
      <c r="A67" s="10"/>
      <c r="B67" s="591"/>
      <c r="C67" s="517"/>
      <c r="D67" s="517"/>
      <c r="E67" s="497"/>
      <c r="F67" s="497"/>
      <c r="G67" s="516"/>
      <c r="H67" s="497"/>
      <c r="I67" s="423"/>
      <c r="J67" s="605"/>
      <c r="K67" s="441"/>
      <c r="M67" s="27"/>
      <c r="N67" s="27"/>
      <c r="O67" s="27"/>
      <c r="P67" s="27"/>
    </row>
    <row r="68" spans="1:16" s="17" customFormat="1" ht="24.95" customHeight="1" x14ac:dyDescent="0.25">
      <c r="A68" s="10"/>
      <c r="B68" s="611" t="s">
        <v>356</v>
      </c>
      <c r="C68" s="318"/>
      <c r="D68" s="318"/>
      <c r="E68" s="446"/>
      <c r="F68" s="606">
        <f>+H68/I68</f>
        <v>365</v>
      </c>
      <c r="G68" s="634">
        <f>+F68/365</f>
        <v>1</v>
      </c>
      <c r="H68" s="537">
        <f>SUM(H69)</f>
        <v>143414091.80000001</v>
      </c>
      <c r="I68" s="560">
        <f>SUM(I69)</f>
        <v>392915.32</v>
      </c>
      <c r="J68" s="610">
        <f>+K68/I68</f>
        <v>5.6</v>
      </c>
      <c r="K68" s="593">
        <f>SUM(K69)</f>
        <v>2200325.79</v>
      </c>
      <c r="M68" s="27"/>
      <c r="N68" s="27"/>
      <c r="O68" s="27"/>
      <c r="P68" s="27"/>
    </row>
    <row r="69" spans="1:16" s="17" customFormat="1" ht="24.95" customHeight="1" x14ac:dyDescent="0.25">
      <c r="A69" s="10"/>
      <c r="B69" s="589" t="s">
        <v>488</v>
      </c>
      <c r="C69" s="451">
        <v>45446</v>
      </c>
      <c r="D69" s="451">
        <v>45838</v>
      </c>
      <c r="E69" s="539" t="s">
        <v>199</v>
      </c>
      <c r="F69" s="600">
        <v>365</v>
      </c>
      <c r="G69" s="716">
        <f>+F69/365</f>
        <v>1</v>
      </c>
      <c r="H69" s="602">
        <f t="shared" ref="H69" si="11">+F69*I69</f>
        <v>143414091.80000001</v>
      </c>
      <c r="I69" s="514">
        <v>392915.32</v>
      </c>
      <c r="J69" s="681">
        <v>5.6</v>
      </c>
      <c r="K69" s="593">
        <f t="shared" ref="K69" si="12">+I69*J69</f>
        <v>2200325.79</v>
      </c>
      <c r="M69" s="27"/>
      <c r="N69" s="27"/>
      <c r="O69" s="27"/>
      <c r="P69" s="27"/>
    </row>
    <row r="70" spans="1:16" ht="26.25" customHeight="1" x14ac:dyDescent="0.25">
      <c r="B70" s="117"/>
      <c r="C70" s="117"/>
      <c r="D70" s="117"/>
      <c r="E70" s="117"/>
      <c r="F70" s="117"/>
      <c r="G70" s="117"/>
      <c r="H70" s="117"/>
      <c r="I70" s="117"/>
      <c r="J70" s="483"/>
    </row>
    <row r="73" spans="1:16" ht="26.25" customHeight="1" x14ac:dyDescent="0.25">
      <c r="C73" s="10" t="s">
        <v>36</v>
      </c>
    </row>
  </sheetData>
  <sortState ref="B59:J66">
    <sortCondition ref="D59:D66"/>
  </sortState>
  <mergeCells count="15">
    <mergeCell ref="K7:M7"/>
    <mergeCell ref="K1:M1"/>
    <mergeCell ref="B2:J2"/>
    <mergeCell ref="K2:M2"/>
    <mergeCell ref="B4:J4"/>
    <mergeCell ref="B6:J6"/>
    <mergeCell ref="B5:J5"/>
    <mergeCell ref="B1:I1"/>
    <mergeCell ref="J7:J8"/>
    <mergeCell ref="B3:J3"/>
    <mergeCell ref="B7:B8"/>
    <mergeCell ref="C7:C8"/>
    <mergeCell ref="D7:D8"/>
    <mergeCell ref="G7:G8"/>
    <mergeCell ref="I7:I8"/>
  </mergeCells>
  <printOptions horizontalCentered="1" gridLinesSet="0"/>
  <pageMargins left="0" right="0" top="0.51181102362204722" bottom="0.51181102362204722" header="0" footer="0"/>
  <pageSetup scale="88" fitToHeight="0" orientation="portrait" blackAndWhite="1" useFirstPageNumber="1" r:id="rId1"/>
  <headerFooter alignWithMargins="0">
    <oddFooter>&amp;C&amp;"Arial,Normal"&amp;8Página &amp;P de &amp;N</oddFooter>
  </headerFooter>
  <rowBreaks count="3" manualBreakCount="3">
    <brk id="21" min="1" max="10" man="1"/>
    <brk id="40" min="1" max="10" man="1"/>
    <brk id="57" min="1" max="10" man="1"/>
  </rowBreaks>
  <ignoredErrors>
    <ignoredError sqref="B69 B42" numberStoredAsText="1"/>
    <ignoredError sqref="J11 J24 F26 J36 F59 J46 J57 J68 J9:J1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83" transitionEvaluation="1">
    <tabColor rgb="FF030CBD"/>
    <pageSetUpPr fitToPage="1"/>
  </sheetPr>
  <dimension ref="A1:T92"/>
  <sheetViews>
    <sheetView showGridLines="0" zoomScaleNormal="100" zoomScaleSheetLayoutView="80" workbookViewId="0">
      <pane ySplit="7" topLeftCell="A83" activePane="bottomLeft" state="frozen"/>
      <selection activeCell="N28" sqref="N28"/>
      <selection pane="bottomLeft" activeCell="G90" sqref="G90"/>
    </sheetView>
  </sheetViews>
  <sheetFormatPr baseColWidth="10" defaultColWidth="21.140625" defaultRowHeight="30" customHeight="1" x14ac:dyDescent="0.2"/>
  <cols>
    <col min="1" max="1" width="7.140625" style="2" customWidth="1"/>
    <col min="2" max="2" width="33.140625" style="10" customWidth="1"/>
    <col min="3" max="3" width="23" style="10" customWidth="1"/>
    <col min="4" max="4" width="21.28515625" style="10" customWidth="1"/>
    <col min="5" max="5" width="15" style="10" hidden="1" customWidth="1"/>
    <col min="6" max="6" width="18.85546875" style="468" hidden="1" customWidth="1"/>
    <col min="7" max="7" width="16.42578125" style="10" customWidth="1"/>
    <col min="8" max="8" width="29.140625" style="10" hidden="1" customWidth="1"/>
    <col min="9" max="9" width="21.7109375" style="10" customWidth="1"/>
    <col min="10" max="10" width="19.28515625" style="19" customWidth="1"/>
    <col min="11" max="11" width="30.85546875" style="159" hidden="1" customWidth="1"/>
    <col min="12" max="12" width="15.85546875" style="2" hidden="1" customWidth="1"/>
    <col min="13" max="13" width="21.140625" style="2" hidden="1" customWidth="1"/>
    <col min="14" max="14" width="22.5703125" style="2" hidden="1" customWidth="1"/>
    <col min="15" max="15" width="21.140625" style="2"/>
    <col min="16" max="20" width="21.140625" style="33"/>
    <col min="21" max="16384" width="21.140625" style="2"/>
  </cols>
  <sheetData>
    <row r="1" spans="1:20" s="17" customFormat="1" ht="15" customHeight="1" x14ac:dyDescent="0.25">
      <c r="B1" s="387"/>
      <c r="C1" s="387"/>
      <c r="D1" s="387"/>
      <c r="E1" s="387"/>
      <c r="F1" s="467"/>
      <c r="G1" s="387"/>
      <c r="H1" s="387"/>
      <c r="I1" s="387"/>
      <c r="J1" s="614"/>
      <c r="K1" s="169"/>
      <c r="L1" s="316"/>
      <c r="M1" s="18"/>
      <c r="N1" s="820"/>
      <c r="O1" s="820"/>
      <c r="P1" s="820"/>
      <c r="Q1" s="27"/>
      <c r="R1" s="27"/>
      <c r="S1" s="27"/>
      <c r="T1" s="27"/>
    </row>
    <row r="2" spans="1:20" s="19" customFormat="1" ht="21.95" customHeight="1" x14ac:dyDescent="0.25">
      <c r="B2" s="808" t="s">
        <v>0</v>
      </c>
      <c r="C2" s="808"/>
      <c r="D2" s="808"/>
      <c r="E2" s="808"/>
      <c r="F2" s="808"/>
      <c r="G2" s="808"/>
      <c r="H2" s="808"/>
      <c r="I2" s="808"/>
      <c r="J2" s="808"/>
      <c r="K2" s="170"/>
      <c r="M2" s="821"/>
      <c r="N2" s="821"/>
      <c r="O2" s="821"/>
      <c r="P2" s="821"/>
      <c r="Q2" s="108"/>
      <c r="R2" s="108"/>
      <c r="S2" s="108"/>
      <c r="T2" s="108"/>
    </row>
    <row r="3" spans="1:20" s="315" customFormat="1" ht="21.95" customHeight="1" x14ac:dyDescent="0.25">
      <c r="A3" s="320"/>
      <c r="B3" s="809" t="s">
        <v>45</v>
      </c>
      <c r="C3" s="809"/>
      <c r="D3" s="809"/>
      <c r="E3" s="809"/>
      <c r="F3" s="809"/>
      <c r="G3" s="809"/>
      <c r="H3" s="809"/>
      <c r="I3" s="809"/>
      <c r="J3" s="809"/>
      <c r="K3" s="171"/>
      <c r="M3" s="818"/>
      <c r="N3" s="25"/>
      <c r="O3" s="25"/>
      <c r="P3" s="25"/>
      <c r="Q3" s="108"/>
      <c r="R3" s="108"/>
      <c r="S3" s="108"/>
      <c r="T3" s="320"/>
    </row>
    <row r="4" spans="1:20" s="315" customFormat="1" ht="21.95" customHeight="1" x14ac:dyDescent="0.25">
      <c r="A4" s="320"/>
      <c r="B4" s="809" t="s">
        <v>44</v>
      </c>
      <c r="C4" s="809"/>
      <c r="D4" s="809"/>
      <c r="E4" s="809"/>
      <c r="F4" s="809"/>
      <c r="G4" s="809"/>
      <c r="H4" s="809"/>
      <c r="I4" s="809"/>
      <c r="J4" s="809"/>
      <c r="K4" s="171"/>
      <c r="M4" s="818"/>
      <c r="N4" s="25"/>
      <c r="O4" s="25"/>
      <c r="P4" s="25"/>
      <c r="Q4" s="108"/>
      <c r="R4" s="108"/>
      <c r="S4" s="108"/>
      <c r="T4" s="320"/>
    </row>
    <row r="5" spans="1:20" s="19" customFormat="1" ht="21.95" customHeight="1" x14ac:dyDescent="0.25">
      <c r="B5" s="810" t="str">
        <f>'VENC. '!$B$4</f>
        <v>AL 31 DE JULIO  DE 2024</v>
      </c>
      <c r="C5" s="810"/>
      <c r="D5" s="810"/>
      <c r="E5" s="810"/>
      <c r="F5" s="810"/>
      <c r="G5" s="810"/>
      <c r="H5" s="810"/>
      <c r="I5" s="810"/>
      <c r="J5" s="810"/>
      <c r="K5" s="171"/>
      <c r="L5" s="315"/>
      <c r="M5" s="818"/>
      <c r="N5" s="4"/>
      <c r="P5" s="108"/>
      <c r="Q5" s="108"/>
      <c r="R5" s="108"/>
      <c r="S5" s="108"/>
      <c r="T5" s="108"/>
    </row>
    <row r="6" spans="1:20" ht="35.25" customHeight="1" x14ac:dyDescent="0.2">
      <c r="B6" s="813" t="s">
        <v>1</v>
      </c>
      <c r="C6" s="811" t="s">
        <v>594</v>
      </c>
      <c r="D6" s="811" t="s">
        <v>595</v>
      </c>
      <c r="E6" s="566" t="s">
        <v>2</v>
      </c>
      <c r="F6" s="615" t="s">
        <v>588</v>
      </c>
      <c r="G6" s="812" t="s">
        <v>596</v>
      </c>
      <c r="H6" s="479"/>
      <c r="I6" s="811" t="s">
        <v>598</v>
      </c>
      <c r="J6" s="813" t="s">
        <v>3</v>
      </c>
      <c r="K6" s="823" t="s">
        <v>139</v>
      </c>
      <c r="M6" s="822"/>
      <c r="N6" s="822"/>
      <c r="O6" s="822"/>
      <c r="P6" s="822"/>
    </row>
    <row r="7" spans="1:20" ht="36.75" customHeight="1" x14ac:dyDescent="0.2">
      <c r="B7" s="814"/>
      <c r="C7" s="811"/>
      <c r="D7" s="811"/>
      <c r="E7" s="567"/>
      <c r="F7" s="616"/>
      <c r="G7" s="812"/>
      <c r="H7" s="478"/>
      <c r="I7" s="811"/>
      <c r="J7" s="814"/>
      <c r="K7" s="824"/>
      <c r="L7" s="4"/>
      <c r="M7" s="108">
        <f>'VENC. '!$G$6</f>
        <v>7162739520.4099998</v>
      </c>
      <c r="N7" s="18"/>
      <c r="O7" s="18"/>
      <c r="P7" s="18"/>
      <c r="Q7" s="27"/>
    </row>
    <row r="8" spans="1:20" s="10" customFormat="1" ht="54.75" customHeight="1" x14ac:dyDescent="0.25">
      <c r="B8" s="627" t="s">
        <v>14</v>
      </c>
      <c r="C8" s="628"/>
      <c r="D8" s="628"/>
      <c r="E8" s="626"/>
      <c r="F8" s="617">
        <f>+(I10*F10+I49*F49+I92*G92)/I8</f>
        <v>369</v>
      </c>
      <c r="G8" s="577"/>
      <c r="H8" s="426">
        <f>+H10+H49+H92</f>
        <v>398943771906.34998</v>
      </c>
      <c r="I8" s="533">
        <f>+I10+I49+I92</f>
        <v>1078798677.9100001</v>
      </c>
      <c r="J8" s="563">
        <f>+N8/I8</f>
        <v>3.78</v>
      </c>
      <c r="K8" s="158"/>
      <c r="N8" s="426">
        <f>+N10+N49+N92</f>
        <v>4072875723</v>
      </c>
      <c r="P8" s="4"/>
      <c r="Q8" s="4"/>
      <c r="R8" s="4"/>
      <c r="S8" s="4"/>
      <c r="T8" s="4"/>
    </row>
    <row r="9" spans="1:20" s="10" customFormat="1" ht="18" customHeight="1" x14ac:dyDescent="0.25">
      <c r="B9" s="618"/>
      <c r="C9" s="629"/>
      <c r="D9" s="629"/>
      <c r="E9" s="619"/>
      <c r="F9" s="620"/>
      <c r="G9" s="629"/>
      <c r="H9" s="619"/>
      <c r="I9" s="533"/>
      <c r="J9" s="605"/>
      <c r="K9" s="158"/>
      <c r="P9" s="4"/>
      <c r="Q9" s="4"/>
      <c r="R9" s="4"/>
      <c r="S9" s="4"/>
      <c r="T9" s="4"/>
    </row>
    <row r="10" spans="1:20" s="10" customFormat="1" ht="24.95" customHeight="1" x14ac:dyDescent="0.25">
      <c r="B10" s="625" t="s">
        <v>54</v>
      </c>
      <c r="C10" s="630"/>
      <c r="D10" s="587"/>
      <c r="E10" s="623"/>
      <c r="F10" s="617">
        <f>+H10/I10</f>
        <v>181</v>
      </c>
      <c r="G10" s="577">
        <f>+F10/365</f>
        <v>0.5</v>
      </c>
      <c r="H10" s="426">
        <f>SUM(H11:H47)</f>
        <v>111664056997.77</v>
      </c>
      <c r="I10" s="533">
        <f>SUM(I11:I47)</f>
        <v>617566092.32000005</v>
      </c>
      <c r="J10" s="563">
        <f>+N10/I10</f>
        <v>3.51</v>
      </c>
      <c r="K10" s="173"/>
      <c r="L10" s="34"/>
      <c r="N10" s="502">
        <f>SUM(N11:N47)</f>
        <v>2169140751</v>
      </c>
      <c r="P10" s="4"/>
      <c r="Q10" s="4"/>
      <c r="R10" s="4"/>
      <c r="S10" s="4"/>
      <c r="T10" s="4"/>
    </row>
    <row r="11" spans="1:20" s="10" customFormat="1" ht="24.95" customHeight="1" x14ac:dyDescent="0.25">
      <c r="B11" s="314">
        <v>150000173561</v>
      </c>
      <c r="C11" s="516">
        <v>45504</v>
      </c>
      <c r="D11" s="517">
        <v>45505</v>
      </c>
      <c r="E11" s="527" t="s">
        <v>587</v>
      </c>
      <c r="F11" s="547">
        <v>1</v>
      </c>
      <c r="G11" s="516"/>
      <c r="H11" s="56">
        <f>+F11*I11</f>
        <v>165000000</v>
      </c>
      <c r="I11" s="423">
        <v>165000000</v>
      </c>
      <c r="J11" s="605">
        <v>3.25</v>
      </c>
      <c r="K11" s="329"/>
      <c r="L11" s="34"/>
      <c r="N11" s="10">
        <f>+I11*J11</f>
        <v>536250000</v>
      </c>
      <c r="P11" s="4"/>
      <c r="Q11" s="4"/>
      <c r="R11" s="4"/>
      <c r="S11" s="4"/>
      <c r="T11" s="4"/>
    </row>
    <row r="12" spans="1:20" s="10" customFormat="1" ht="24.95" customHeight="1" x14ac:dyDescent="0.25">
      <c r="B12" s="314">
        <v>150000173570</v>
      </c>
      <c r="C12" s="516">
        <v>45504</v>
      </c>
      <c r="D12" s="517">
        <v>45505</v>
      </c>
      <c r="E12" s="527" t="s">
        <v>587</v>
      </c>
      <c r="F12" s="547">
        <v>1</v>
      </c>
      <c r="G12" s="516"/>
      <c r="H12" s="56">
        <f t="shared" ref="H12:H47" si="0">+F12*I12</f>
        <v>69894000</v>
      </c>
      <c r="I12" s="423">
        <v>69894000</v>
      </c>
      <c r="J12" s="605">
        <v>3.25</v>
      </c>
      <c r="K12" s="321"/>
      <c r="L12" s="34"/>
      <c r="N12" s="10">
        <f t="shared" ref="N12:N47" si="1">+I12*J12</f>
        <v>227155500</v>
      </c>
      <c r="P12" s="4"/>
      <c r="Q12" s="4"/>
      <c r="R12" s="4"/>
      <c r="S12" s="4"/>
      <c r="T12" s="4"/>
    </row>
    <row r="13" spans="1:20" s="10" customFormat="1" ht="24.95" customHeight="1" x14ac:dyDescent="0.25">
      <c r="B13" s="314">
        <v>150000173267</v>
      </c>
      <c r="C13" s="516">
        <v>45498</v>
      </c>
      <c r="D13" s="517">
        <v>45513</v>
      </c>
      <c r="E13" s="527" t="s">
        <v>582</v>
      </c>
      <c r="F13" s="547">
        <v>15</v>
      </c>
      <c r="G13" s="516"/>
      <c r="H13" s="56">
        <f t="shared" si="0"/>
        <v>1500000000</v>
      </c>
      <c r="I13" s="423">
        <v>100000000</v>
      </c>
      <c r="J13" s="605">
        <v>4</v>
      </c>
      <c r="K13" s="321"/>
      <c r="L13" s="34"/>
      <c r="N13" s="10">
        <f t="shared" si="1"/>
        <v>400000000</v>
      </c>
      <c r="P13" s="4"/>
      <c r="Q13" s="4"/>
      <c r="R13" s="4"/>
      <c r="S13" s="4"/>
      <c r="T13" s="4"/>
    </row>
    <row r="14" spans="1:20" s="10" customFormat="1" ht="24.95" customHeight="1" x14ac:dyDescent="0.25">
      <c r="B14" s="314">
        <v>150000172671</v>
      </c>
      <c r="C14" s="516">
        <v>45490</v>
      </c>
      <c r="D14" s="517">
        <v>45519</v>
      </c>
      <c r="E14" s="527" t="s">
        <v>395</v>
      </c>
      <c r="F14" s="547">
        <v>29</v>
      </c>
      <c r="G14" s="516"/>
      <c r="H14" s="56">
        <f t="shared" si="0"/>
        <v>2900000000</v>
      </c>
      <c r="I14" s="423">
        <v>100000000</v>
      </c>
      <c r="J14" s="605">
        <v>4.09</v>
      </c>
      <c r="K14" s="321"/>
      <c r="L14" s="34"/>
      <c r="N14" s="10">
        <f t="shared" si="1"/>
        <v>409000000</v>
      </c>
      <c r="P14" s="4"/>
      <c r="Q14" s="4"/>
      <c r="R14" s="4"/>
      <c r="S14" s="4"/>
      <c r="T14" s="4"/>
    </row>
    <row r="15" spans="1:20" s="10" customFormat="1" ht="24.95" customHeight="1" x14ac:dyDescent="0.25">
      <c r="B15" s="314">
        <v>110000086853</v>
      </c>
      <c r="C15" s="516">
        <v>45134</v>
      </c>
      <c r="D15" s="517">
        <v>45716</v>
      </c>
      <c r="E15" s="527" t="s">
        <v>343</v>
      </c>
      <c r="F15" s="547">
        <v>582</v>
      </c>
      <c r="G15" s="516"/>
      <c r="H15" s="56">
        <f t="shared" si="0"/>
        <v>1954866937.8</v>
      </c>
      <c r="I15" s="423">
        <v>3358877.9</v>
      </c>
      <c r="J15" s="605">
        <v>2.25</v>
      </c>
      <c r="K15" s="321"/>
      <c r="L15" s="34"/>
      <c r="N15" s="10">
        <f t="shared" si="1"/>
        <v>7557475</v>
      </c>
      <c r="P15" s="4"/>
      <c r="Q15" s="4"/>
      <c r="R15" s="4"/>
      <c r="S15" s="4"/>
      <c r="T15" s="4"/>
    </row>
    <row r="16" spans="1:20" s="10" customFormat="1" ht="24.95" customHeight="1" x14ac:dyDescent="0.25">
      <c r="B16" s="314">
        <v>110000086595</v>
      </c>
      <c r="C16" s="516">
        <v>45114</v>
      </c>
      <c r="D16" s="517">
        <v>45716</v>
      </c>
      <c r="E16" s="527" t="s">
        <v>352</v>
      </c>
      <c r="F16" s="547">
        <v>602</v>
      </c>
      <c r="G16" s="516"/>
      <c r="H16" s="56">
        <f t="shared" si="0"/>
        <v>1780054564.54</v>
      </c>
      <c r="I16" s="423">
        <v>2956901.27</v>
      </c>
      <c r="J16" s="605">
        <v>2.25</v>
      </c>
      <c r="K16" s="321"/>
      <c r="L16" s="34"/>
      <c r="N16" s="10">
        <f t="shared" si="1"/>
        <v>6653028</v>
      </c>
      <c r="P16" s="4"/>
      <c r="Q16" s="4"/>
      <c r="R16" s="4"/>
      <c r="S16" s="4"/>
      <c r="T16" s="4"/>
    </row>
    <row r="17" spans="2:20" s="10" customFormat="1" ht="24.95" customHeight="1" x14ac:dyDescent="0.25">
      <c r="B17" s="314">
        <v>110000086020</v>
      </c>
      <c r="C17" s="517">
        <v>45072</v>
      </c>
      <c r="D17" s="517">
        <v>45716</v>
      </c>
      <c r="E17" s="527" t="s">
        <v>316</v>
      </c>
      <c r="F17" s="547">
        <v>644</v>
      </c>
      <c r="G17" s="516"/>
      <c r="H17" s="56">
        <f t="shared" si="0"/>
        <v>1549184838.8800001</v>
      </c>
      <c r="I17" s="423">
        <v>2405566.52</v>
      </c>
      <c r="J17" s="605">
        <v>2.25</v>
      </c>
      <c r="K17" s="321"/>
      <c r="L17" s="34"/>
      <c r="N17" s="10">
        <f t="shared" si="1"/>
        <v>5412525</v>
      </c>
      <c r="P17" s="4"/>
      <c r="Q17" s="4"/>
      <c r="R17" s="4"/>
      <c r="S17" s="4"/>
      <c r="T17" s="4"/>
    </row>
    <row r="18" spans="2:20" s="10" customFormat="1" ht="24.95" customHeight="1" x14ac:dyDescent="0.25">
      <c r="B18" s="314">
        <v>110000086076</v>
      </c>
      <c r="C18" s="517">
        <v>45072</v>
      </c>
      <c r="D18" s="517">
        <v>45716</v>
      </c>
      <c r="E18" s="527" t="s">
        <v>316</v>
      </c>
      <c r="F18" s="547">
        <v>644</v>
      </c>
      <c r="G18" s="516"/>
      <c r="H18" s="56">
        <f t="shared" si="0"/>
        <v>15987989942.959999</v>
      </c>
      <c r="I18" s="423">
        <v>24826071.34</v>
      </c>
      <c r="J18" s="605">
        <v>2.25</v>
      </c>
      <c r="K18" s="321"/>
      <c r="L18" s="34"/>
      <c r="N18" s="10">
        <f t="shared" si="1"/>
        <v>55858661</v>
      </c>
      <c r="P18" s="4"/>
      <c r="Q18" s="4"/>
      <c r="R18" s="4"/>
      <c r="S18" s="4"/>
      <c r="T18" s="4"/>
    </row>
    <row r="19" spans="2:20" s="10" customFormat="1" ht="24.95" customHeight="1" x14ac:dyDescent="0.25">
      <c r="B19" s="314">
        <v>110000086325</v>
      </c>
      <c r="C19" s="517">
        <v>45100</v>
      </c>
      <c r="D19" s="517">
        <v>45716</v>
      </c>
      <c r="E19" s="527" t="s">
        <v>336</v>
      </c>
      <c r="F19" s="547">
        <v>616</v>
      </c>
      <c r="G19" s="516"/>
      <c r="H19" s="56">
        <f t="shared" si="0"/>
        <v>4831074925.6000004</v>
      </c>
      <c r="I19" s="423">
        <v>7842654.0999999996</v>
      </c>
      <c r="J19" s="605">
        <v>2.25</v>
      </c>
      <c r="K19" s="321"/>
      <c r="L19" s="34"/>
      <c r="N19" s="10">
        <f t="shared" si="1"/>
        <v>17645972</v>
      </c>
      <c r="P19" s="4"/>
      <c r="Q19" s="4"/>
      <c r="R19" s="4"/>
      <c r="S19" s="4"/>
      <c r="T19" s="4"/>
    </row>
    <row r="20" spans="2:20" s="10" customFormat="1" ht="24.95" customHeight="1" x14ac:dyDescent="0.25">
      <c r="B20" s="314">
        <v>110000086414</v>
      </c>
      <c r="C20" s="517">
        <v>45106</v>
      </c>
      <c r="D20" s="517">
        <v>45716</v>
      </c>
      <c r="E20" s="527" t="s">
        <v>338</v>
      </c>
      <c r="F20" s="547">
        <v>610</v>
      </c>
      <c r="G20" s="516"/>
      <c r="H20" s="56">
        <f t="shared" si="0"/>
        <v>1839764806.8</v>
      </c>
      <c r="I20" s="423">
        <v>3016007.88</v>
      </c>
      <c r="J20" s="605">
        <v>2.25</v>
      </c>
      <c r="K20" s="321"/>
      <c r="L20" s="34"/>
      <c r="N20" s="10">
        <f t="shared" si="1"/>
        <v>6786018</v>
      </c>
      <c r="P20" s="4"/>
      <c r="Q20" s="4"/>
      <c r="R20" s="4"/>
      <c r="S20" s="4"/>
      <c r="T20" s="4"/>
    </row>
    <row r="21" spans="2:20" s="10" customFormat="1" ht="24.95" customHeight="1" x14ac:dyDescent="0.25">
      <c r="B21" s="314">
        <v>110000086960</v>
      </c>
      <c r="C21" s="517">
        <v>45142</v>
      </c>
      <c r="D21" s="517">
        <v>45716</v>
      </c>
      <c r="E21" s="527" t="s">
        <v>365</v>
      </c>
      <c r="F21" s="547">
        <v>574</v>
      </c>
      <c r="G21" s="516"/>
      <c r="H21" s="56">
        <f t="shared" si="0"/>
        <v>1515494792.4200001</v>
      </c>
      <c r="I21" s="423">
        <v>2640234.83</v>
      </c>
      <c r="J21" s="605">
        <v>2.25</v>
      </c>
      <c r="K21" s="321"/>
      <c r="L21" s="34"/>
      <c r="N21" s="10">
        <f t="shared" si="1"/>
        <v>5940528</v>
      </c>
      <c r="P21" s="4"/>
      <c r="Q21" s="4"/>
      <c r="R21" s="4"/>
      <c r="S21" s="4"/>
      <c r="T21" s="4"/>
    </row>
    <row r="22" spans="2:20" s="10" customFormat="1" ht="24.95" customHeight="1" x14ac:dyDescent="0.25">
      <c r="B22" s="314">
        <v>110000087037</v>
      </c>
      <c r="C22" s="517">
        <v>45146</v>
      </c>
      <c r="D22" s="517">
        <v>45716</v>
      </c>
      <c r="E22" s="527" t="s">
        <v>368</v>
      </c>
      <c r="F22" s="547">
        <v>570</v>
      </c>
      <c r="G22" s="516"/>
      <c r="H22" s="56">
        <f t="shared" si="0"/>
        <v>4702358469</v>
      </c>
      <c r="I22" s="423">
        <v>8249751.7000000002</v>
      </c>
      <c r="J22" s="605">
        <v>2.25</v>
      </c>
      <c r="K22" s="321"/>
      <c r="L22" s="34"/>
      <c r="N22" s="10">
        <f t="shared" si="1"/>
        <v>18561941</v>
      </c>
      <c r="P22" s="4"/>
      <c r="Q22" s="4"/>
      <c r="R22" s="4"/>
      <c r="S22" s="4"/>
      <c r="T22" s="4"/>
    </row>
    <row r="23" spans="2:20" s="10" customFormat="1" ht="24.95" customHeight="1" x14ac:dyDescent="0.25">
      <c r="B23" s="314">
        <v>110000087369</v>
      </c>
      <c r="C23" s="517">
        <v>45168</v>
      </c>
      <c r="D23" s="517">
        <v>45716</v>
      </c>
      <c r="E23" s="527" t="s">
        <v>373</v>
      </c>
      <c r="F23" s="547">
        <v>548</v>
      </c>
      <c r="G23" s="516"/>
      <c r="H23" s="56">
        <f t="shared" si="0"/>
        <v>260071818.28</v>
      </c>
      <c r="I23" s="423">
        <v>474583.61</v>
      </c>
      <c r="J23" s="605">
        <v>2.25</v>
      </c>
      <c r="K23" s="321"/>
      <c r="L23" s="34"/>
      <c r="N23" s="10">
        <f t="shared" si="1"/>
        <v>1067813</v>
      </c>
      <c r="P23" s="4"/>
      <c r="Q23" s="4"/>
      <c r="R23" s="4"/>
      <c r="S23" s="4"/>
      <c r="T23" s="4"/>
    </row>
    <row r="24" spans="2:20" s="10" customFormat="1" ht="24.95" customHeight="1" x14ac:dyDescent="0.25">
      <c r="B24" s="314">
        <v>110000087485</v>
      </c>
      <c r="C24" s="517">
        <v>45176</v>
      </c>
      <c r="D24" s="517">
        <v>45716</v>
      </c>
      <c r="E24" s="527" t="s">
        <v>380</v>
      </c>
      <c r="F24" s="547">
        <v>540</v>
      </c>
      <c r="G24" s="516"/>
      <c r="H24" s="56">
        <f t="shared" si="0"/>
        <v>4963076118</v>
      </c>
      <c r="I24" s="423">
        <v>9190881.6999999993</v>
      </c>
      <c r="J24" s="605">
        <v>2.25</v>
      </c>
      <c r="K24" s="321"/>
      <c r="L24" s="34"/>
      <c r="N24" s="10">
        <f t="shared" si="1"/>
        <v>20679484</v>
      </c>
      <c r="P24" s="4"/>
      <c r="Q24" s="4"/>
      <c r="R24" s="4"/>
      <c r="S24" s="4"/>
      <c r="T24" s="4"/>
    </row>
    <row r="25" spans="2:20" s="10" customFormat="1" ht="24.95" customHeight="1" x14ac:dyDescent="0.25">
      <c r="B25" s="314">
        <v>110000088025</v>
      </c>
      <c r="C25" s="517">
        <v>45211</v>
      </c>
      <c r="D25" s="517">
        <v>45716</v>
      </c>
      <c r="E25" s="527" t="s">
        <v>400</v>
      </c>
      <c r="F25" s="547">
        <v>505</v>
      </c>
      <c r="G25" s="516"/>
      <c r="H25" s="56">
        <f t="shared" si="0"/>
        <v>2034662978</v>
      </c>
      <c r="I25" s="423">
        <v>4029035.6</v>
      </c>
      <c r="J25" s="605">
        <v>2.25</v>
      </c>
      <c r="K25" s="321"/>
      <c r="L25" s="34"/>
      <c r="N25" s="10">
        <f t="shared" si="1"/>
        <v>9065330</v>
      </c>
      <c r="P25" s="4"/>
      <c r="Q25" s="4"/>
      <c r="R25" s="4"/>
      <c r="S25" s="4"/>
      <c r="T25" s="4"/>
    </row>
    <row r="26" spans="2:20" s="10" customFormat="1" ht="24.95" customHeight="1" x14ac:dyDescent="0.25">
      <c r="B26" s="314">
        <v>110000093428</v>
      </c>
      <c r="C26" s="517">
        <v>45482</v>
      </c>
      <c r="D26" s="517">
        <v>45847</v>
      </c>
      <c r="E26" s="527" t="s">
        <v>444</v>
      </c>
      <c r="F26" s="547">
        <v>365</v>
      </c>
      <c r="G26" s="516"/>
      <c r="H26" s="56">
        <f t="shared" si="0"/>
        <v>6372338224.8500004</v>
      </c>
      <c r="I26" s="423">
        <v>17458460.890000001</v>
      </c>
      <c r="J26" s="605">
        <v>5.25</v>
      </c>
      <c r="K26" s="321"/>
      <c r="L26" s="34"/>
      <c r="N26" s="10">
        <f t="shared" si="1"/>
        <v>91656920</v>
      </c>
      <c r="P26" s="4"/>
      <c r="Q26" s="4"/>
      <c r="R26" s="4"/>
      <c r="S26" s="4"/>
      <c r="T26" s="4"/>
    </row>
    <row r="27" spans="2:20" s="10" customFormat="1" ht="24.95" customHeight="1" x14ac:dyDescent="0.25">
      <c r="B27" s="314">
        <v>110000093796</v>
      </c>
      <c r="C27" s="517">
        <v>45490</v>
      </c>
      <c r="D27" s="517">
        <v>45855</v>
      </c>
      <c r="E27" s="527" t="s">
        <v>444</v>
      </c>
      <c r="F27" s="547">
        <v>365</v>
      </c>
      <c r="G27" s="516"/>
      <c r="H27" s="56">
        <f t="shared" si="0"/>
        <v>6769278327.3000002</v>
      </c>
      <c r="I27" s="423">
        <v>18545968.02</v>
      </c>
      <c r="J27" s="605">
        <v>5.25</v>
      </c>
      <c r="K27" s="321"/>
      <c r="L27" s="34"/>
      <c r="N27" s="10">
        <f t="shared" si="1"/>
        <v>97366332</v>
      </c>
      <c r="P27" s="4"/>
      <c r="Q27" s="4"/>
      <c r="R27" s="4"/>
      <c r="S27" s="4"/>
      <c r="T27" s="4"/>
    </row>
    <row r="28" spans="2:20" s="10" customFormat="1" ht="24.95" customHeight="1" x14ac:dyDescent="0.25">
      <c r="B28" s="314">
        <v>110000093802</v>
      </c>
      <c r="C28" s="517">
        <v>45490</v>
      </c>
      <c r="D28" s="517">
        <v>45855</v>
      </c>
      <c r="E28" s="527" t="s">
        <v>444</v>
      </c>
      <c r="F28" s="547">
        <v>365</v>
      </c>
      <c r="G28" s="516"/>
      <c r="H28" s="56">
        <f t="shared" si="0"/>
        <v>9295600430.6000004</v>
      </c>
      <c r="I28" s="423">
        <v>25467398.440000001</v>
      </c>
      <c r="J28" s="605">
        <v>5.25</v>
      </c>
      <c r="K28" s="321"/>
      <c r="L28" s="34"/>
      <c r="N28" s="10">
        <f t="shared" si="1"/>
        <v>133703842</v>
      </c>
      <c r="P28" s="4"/>
      <c r="Q28" s="4"/>
      <c r="R28" s="4"/>
      <c r="S28" s="4"/>
      <c r="T28" s="4"/>
    </row>
    <row r="29" spans="2:20" s="10" customFormat="1" ht="24.95" customHeight="1" x14ac:dyDescent="0.25">
      <c r="B29" s="314">
        <v>110000083996</v>
      </c>
      <c r="C29" s="516">
        <v>44902</v>
      </c>
      <c r="D29" s="517">
        <v>46000</v>
      </c>
      <c r="E29" s="527" t="s">
        <v>9</v>
      </c>
      <c r="F29" s="547">
        <f>3*365</f>
        <v>1095</v>
      </c>
      <c r="G29" s="516"/>
      <c r="H29" s="56">
        <f t="shared" si="0"/>
        <v>96666840.900000006</v>
      </c>
      <c r="I29" s="423">
        <f>12611.46+12611.46+12611.46+12611.46+12611.46+12611.46+12611.46</f>
        <v>88280.22</v>
      </c>
      <c r="J29" s="605">
        <v>4.95</v>
      </c>
      <c r="K29" s="329"/>
      <c r="L29" s="34"/>
      <c r="N29" s="10">
        <f t="shared" si="1"/>
        <v>436987</v>
      </c>
      <c r="P29" s="4"/>
      <c r="Q29" s="4"/>
      <c r="R29" s="4"/>
      <c r="S29" s="4"/>
      <c r="T29" s="4"/>
    </row>
    <row r="30" spans="2:20" s="10" customFormat="1" ht="24.95" customHeight="1" x14ac:dyDescent="0.25">
      <c r="B30" s="314">
        <v>110000084008</v>
      </c>
      <c r="C30" s="516">
        <v>44902</v>
      </c>
      <c r="D30" s="517">
        <v>46000</v>
      </c>
      <c r="E30" s="527" t="s">
        <v>9</v>
      </c>
      <c r="F30" s="547">
        <f>3*365</f>
        <v>1095</v>
      </c>
      <c r="G30" s="516"/>
      <c r="H30" s="56">
        <f t="shared" si="0"/>
        <v>433621018.35000002</v>
      </c>
      <c r="I30" s="423">
        <f>401354.55-2676.81-2676.81</f>
        <v>396000.93</v>
      </c>
      <c r="J30" s="605">
        <v>4.95</v>
      </c>
      <c r="K30" s="329" t="s">
        <v>140</v>
      </c>
      <c r="L30" s="34" t="s">
        <v>196</v>
      </c>
      <c r="N30" s="10">
        <f t="shared" si="1"/>
        <v>1960205</v>
      </c>
      <c r="P30" s="4"/>
      <c r="Q30" s="4"/>
      <c r="R30" s="4"/>
      <c r="S30" s="4"/>
      <c r="T30" s="4"/>
    </row>
    <row r="31" spans="2:20" s="10" customFormat="1" ht="24.95" customHeight="1" x14ac:dyDescent="0.25">
      <c r="B31" s="529">
        <v>110000087654</v>
      </c>
      <c r="C31" s="516">
        <v>45189</v>
      </c>
      <c r="D31" s="517">
        <v>46080</v>
      </c>
      <c r="E31" s="527" t="s">
        <v>385</v>
      </c>
      <c r="F31" s="547">
        <v>891</v>
      </c>
      <c r="G31" s="516"/>
      <c r="H31" s="56">
        <f t="shared" si="0"/>
        <v>1841966313.6600001</v>
      </c>
      <c r="I31" s="423">
        <v>2067302.26</v>
      </c>
      <c r="J31" s="679">
        <v>2.25</v>
      </c>
      <c r="K31" s="173"/>
      <c r="L31" s="34"/>
      <c r="N31" s="10">
        <f t="shared" si="1"/>
        <v>4651430</v>
      </c>
      <c r="P31" s="4"/>
      <c r="Q31" s="4"/>
      <c r="R31" s="4"/>
      <c r="S31" s="4"/>
      <c r="T31" s="4"/>
    </row>
    <row r="32" spans="2:20" s="10" customFormat="1" ht="24.95" customHeight="1" x14ac:dyDescent="0.25">
      <c r="B32" s="529">
        <v>110000088240</v>
      </c>
      <c r="C32" s="516">
        <v>45231</v>
      </c>
      <c r="D32" s="517">
        <v>46080</v>
      </c>
      <c r="E32" s="527" t="s">
        <v>407</v>
      </c>
      <c r="F32" s="547">
        <v>849</v>
      </c>
      <c r="G32" s="516"/>
      <c r="H32" s="56">
        <f t="shared" si="0"/>
        <v>4211189415.5100002</v>
      </c>
      <c r="I32" s="423">
        <v>4960175.99</v>
      </c>
      <c r="J32" s="679">
        <v>2.25</v>
      </c>
      <c r="K32" s="173"/>
      <c r="L32" s="34"/>
      <c r="N32" s="10">
        <f t="shared" si="1"/>
        <v>11160396</v>
      </c>
      <c r="P32" s="4"/>
      <c r="Q32" s="4"/>
      <c r="R32" s="4"/>
      <c r="S32" s="4"/>
      <c r="T32" s="4"/>
    </row>
    <row r="33" spans="2:20" s="10" customFormat="1" ht="24.95" customHeight="1" x14ac:dyDescent="0.25">
      <c r="B33" s="529">
        <v>110000088740</v>
      </c>
      <c r="C33" s="516">
        <v>45257</v>
      </c>
      <c r="D33" s="517">
        <v>46080</v>
      </c>
      <c r="E33" s="527" t="s">
        <v>404</v>
      </c>
      <c r="F33" s="547">
        <v>823</v>
      </c>
      <c r="G33" s="516"/>
      <c r="H33" s="56">
        <f t="shared" si="0"/>
        <v>2173756840.0900002</v>
      </c>
      <c r="I33" s="423">
        <v>2641259.83</v>
      </c>
      <c r="J33" s="679">
        <v>2.25</v>
      </c>
      <c r="K33" s="173"/>
      <c r="L33" s="34"/>
      <c r="N33" s="10">
        <f t="shared" si="1"/>
        <v>5942835</v>
      </c>
      <c r="P33" s="4"/>
      <c r="Q33" s="4"/>
      <c r="R33" s="4"/>
      <c r="S33" s="4"/>
      <c r="T33" s="4"/>
    </row>
    <row r="34" spans="2:20" s="10" customFormat="1" ht="24.95" customHeight="1" x14ac:dyDescent="0.25">
      <c r="B34" s="529">
        <v>110000088830</v>
      </c>
      <c r="C34" s="516">
        <v>45264</v>
      </c>
      <c r="D34" s="517">
        <v>46080</v>
      </c>
      <c r="E34" s="527" t="s">
        <v>421</v>
      </c>
      <c r="F34" s="547">
        <v>816</v>
      </c>
      <c r="G34" s="516"/>
      <c r="H34" s="56">
        <f t="shared" si="0"/>
        <v>2489833251.8400002</v>
      </c>
      <c r="I34" s="423">
        <v>3051266.24</v>
      </c>
      <c r="J34" s="679">
        <v>2.25</v>
      </c>
      <c r="K34" s="173"/>
      <c r="L34" s="34"/>
      <c r="N34" s="10">
        <f t="shared" si="1"/>
        <v>6865349</v>
      </c>
      <c r="P34" s="4"/>
      <c r="Q34" s="4"/>
      <c r="R34" s="4"/>
      <c r="S34" s="4"/>
      <c r="T34" s="4"/>
    </row>
    <row r="35" spans="2:20" s="10" customFormat="1" ht="24.95" customHeight="1" x14ac:dyDescent="0.25">
      <c r="B35" s="529">
        <v>110000088900</v>
      </c>
      <c r="C35" s="516">
        <v>45266</v>
      </c>
      <c r="D35" s="517">
        <v>46080</v>
      </c>
      <c r="E35" s="527" t="s">
        <v>417</v>
      </c>
      <c r="F35" s="547">
        <v>814</v>
      </c>
      <c r="G35" s="516"/>
      <c r="H35" s="56">
        <f t="shared" si="0"/>
        <v>2016063169.1199999</v>
      </c>
      <c r="I35" s="423">
        <v>2476736.08</v>
      </c>
      <c r="J35" s="679">
        <v>2.25</v>
      </c>
      <c r="K35" s="173"/>
      <c r="L35" s="34"/>
      <c r="N35" s="10">
        <f t="shared" si="1"/>
        <v>5572656</v>
      </c>
      <c r="P35" s="4"/>
      <c r="Q35" s="4"/>
      <c r="R35" s="4"/>
      <c r="S35" s="4"/>
      <c r="T35" s="4"/>
    </row>
    <row r="36" spans="2:20" s="10" customFormat="1" ht="24.95" customHeight="1" x14ac:dyDescent="0.25">
      <c r="B36" s="529">
        <v>110000088929</v>
      </c>
      <c r="C36" s="516">
        <v>45274</v>
      </c>
      <c r="D36" s="517">
        <v>46080</v>
      </c>
      <c r="E36" s="527" t="s">
        <v>414</v>
      </c>
      <c r="F36" s="547">
        <v>806</v>
      </c>
      <c r="G36" s="516"/>
      <c r="H36" s="56">
        <f t="shared" si="0"/>
        <v>5879634801.5600004</v>
      </c>
      <c r="I36" s="423">
        <v>7294832.2599999998</v>
      </c>
      <c r="J36" s="679">
        <v>2.25</v>
      </c>
      <c r="K36" s="173"/>
      <c r="L36" s="34"/>
      <c r="N36" s="10">
        <f t="shared" si="1"/>
        <v>16413373</v>
      </c>
      <c r="P36" s="4"/>
      <c r="Q36" s="4"/>
      <c r="R36" s="4"/>
      <c r="S36" s="4"/>
      <c r="T36" s="4"/>
    </row>
    <row r="37" spans="2:20" s="10" customFormat="1" ht="24.95" customHeight="1" x14ac:dyDescent="0.25">
      <c r="B37" s="529">
        <v>110000089210</v>
      </c>
      <c r="C37" s="516">
        <v>45294</v>
      </c>
      <c r="D37" s="517">
        <v>46080</v>
      </c>
      <c r="E37" s="527" t="s">
        <v>427</v>
      </c>
      <c r="F37" s="547">
        <v>786</v>
      </c>
      <c r="G37" s="516"/>
      <c r="H37" s="56">
        <f t="shared" si="0"/>
        <v>591049119.53999996</v>
      </c>
      <c r="I37" s="423">
        <v>751970.89</v>
      </c>
      <c r="J37" s="679">
        <v>2.25</v>
      </c>
      <c r="K37" s="173"/>
      <c r="L37" s="34"/>
      <c r="N37" s="10">
        <f t="shared" si="1"/>
        <v>1691935</v>
      </c>
      <c r="P37" s="4"/>
      <c r="Q37" s="4"/>
      <c r="R37" s="4"/>
      <c r="S37" s="4"/>
      <c r="T37" s="4"/>
    </row>
    <row r="38" spans="2:20" s="10" customFormat="1" ht="24.95" customHeight="1" x14ac:dyDescent="0.25">
      <c r="B38" s="529">
        <v>110000090112</v>
      </c>
      <c r="C38" s="516">
        <v>45345</v>
      </c>
      <c r="D38" s="517">
        <v>46080</v>
      </c>
      <c r="E38" s="527" t="s">
        <v>434</v>
      </c>
      <c r="F38" s="547">
        <v>735</v>
      </c>
      <c r="G38" s="516"/>
      <c r="H38" s="56">
        <f t="shared" si="0"/>
        <v>2138199877.8</v>
      </c>
      <c r="I38" s="423">
        <v>2909115.48</v>
      </c>
      <c r="J38" s="679">
        <v>2.25</v>
      </c>
      <c r="K38" s="173"/>
      <c r="L38" s="34"/>
      <c r="N38" s="10">
        <f t="shared" si="1"/>
        <v>6545510</v>
      </c>
      <c r="P38" s="4"/>
      <c r="Q38" s="4"/>
      <c r="R38" s="4"/>
      <c r="S38" s="4"/>
      <c r="T38" s="4"/>
    </row>
    <row r="39" spans="2:20" s="10" customFormat="1" ht="24.95" customHeight="1" x14ac:dyDescent="0.25">
      <c r="B39" s="440">
        <v>110000090810</v>
      </c>
      <c r="C39" s="517">
        <v>45379</v>
      </c>
      <c r="D39" s="517">
        <v>46080</v>
      </c>
      <c r="E39" s="527" t="s">
        <v>437</v>
      </c>
      <c r="F39" s="547">
        <v>701</v>
      </c>
      <c r="G39" s="516"/>
      <c r="H39" s="56">
        <f t="shared" si="0"/>
        <v>995529426.10000002</v>
      </c>
      <c r="I39" s="423">
        <v>1420156.1</v>
      </c>
      <c r="J39" s="605">
        <v>2.25</v>
      </c>
      <c r="K39" s="157"/>
      <c r="L39" s="34"/>
      <c r="N39" s="10">
        <f t="shared" si="1"/>
        <v>3195351</v>
      </c>
      <c r="P39" s="4"/>
      <c r="Q39" s="4"/>
      <c r="R39" s="4"/>
      <c r="S39" s="4"/>
      <c r="T39" s="4"/>
    </row>
    <row r="40" spans="2:20" s="10" customFormat="1" ht="24.95" customHeight="1" x14ac:dyDescent="0.25">
      <c r="B40" s="440">
        <v>110000091568</v>
      </c>
      <c r="C40" s="517">
        <v>45408</v>
      </c>
      <c r="D40" s="517">
        <v>46080</v>
      </c>
      <c r="E40" s="527" t="s">
        <v>333</v>
      </c>
      <c r="F40" s="547">
        <f>2*365</f>
        <v>730</v>
      </c>
      <c r="G40" s="516"/>
      <c r="H40" s="56">
        <f t="shared" si="0"/>
        <v>3066183346.8000002</v>
      </c>
      <c r="I40" s="423">
        <v>4200251.16</v>
      </c>
      <c r="J40" s="605">
        <v>2.25</v>
      </c>
      <c r="K40" s="157"/>
      <c r="L40" s="34"/>
      <c r="N40" s="10">
        <f t="shared" si="1"/>
        <v>9450565</v>
      </c>
      <c r="P40" s="4"/>
      <c r="Q40" s="4"/>
      <c r="R40" s="4"/>
      <c r="S40" s="4"/>
      <c r="T40" s="4"/>
    </row>
    <row r="41" spans="2:20" s="10" customFormat="1" ht="24.95" customHeight="1" x14ac:dyDescent="0.25">
      <c r="B41" s="440">
        <v>110000091432</v>
      </c>
      <c r="C41" s="517">
        <v>45401</v>
      </c>
      <c r="D41" s="517">
        <v>46080</v>
      </c>
      <c r="E41" s="527" t="s">
        <v>469</v>
      </c>
      <c r="F41" s="547">
        <v>679</v>
      </c>
      <c r="G41" s="516"/>
      <c r="H41" s="56">
        <f t="shared" si="0"/>
        <v>1275356811.8900001</v>
      </c>
      <c r="I41" s="423">
        <v>1878286.91</v>
      </c>
      <c r="J41" s="605">
        <v>2.25</v>
      </c>
      <c r="K41" s="157"/>
      <c r="L41" s="34"/>
      <c r="N41" s="10">
        <f t="shared" si="1"/>
        <v>4226146</v>
      </c>
      <c r="P41" s="4"/>
      <c r="Q41" s="4"/>
      <c r="R41" s="4"/>
      <c r="S41" s="4"/>
      <c r="T41" s="4"/>
    </row>
    <row r="42" spans="2:20" s="10" customFormat="1" ht="24.95" customHeight="1" x14ac:dyDescent="0.25">
      <c r="B42" s="440">
        <v>110000092091</v>
      </c>
      <c r="C42" s="517">
        <v>45432</v>
      </c>
      <c r="D42" s="517">
        <v>46080</v>
      </c>
      <c r="E42" s="527" t="s">
        <v>473</v>
      </c>
      <c r="F42" s="547">
        <v>648</v>
      </c>
      <c r="G42" s="516"/>
      <c r="H42" s="56">
        <f t="shared" si="0"/>
        <v>682569834.48000002</v>
      </c>
      <c r="I42" s="423">
        <v>1053348.51</v>
      </c>
      <c r="J42" s="605">
        <v>2.25</v>
      </c>
      <c r="K42" s="157"/>
      <c r="L42" s="34"/>
      <c r="N42" s="10">
        <f t="shared" si="1"/>
        <v>2370034</v>
      </c>
      <c r="P42" s="4"/>
      <c r="Q42" s="4"/>
      <c r="R42" s="4"/>
      <c r="S42" s="4"/>
      <c r="T42" s="4"/>
    </row>
    <row r="43" spans="2:20" s="10" customFormat="1" ht="24.95" customHeight="1" x14ac:dyDescent="0.25">
      <c r="B43" s="440">
        <v>110000093203</v>
      </c>
      <c r="C43" s="517">
        <v>45481</v>
      </c>
      <c r="D43" s="517">
        <v>46080</v>
      </c>
      <c r="E43" s="527" t="s">
        <v>560</v>
      </c>
      <c r="F43" s="547">
        <v>599</v>
      </c>
      <c r="G43" s="516"/>
      <c r="H43" s="56">
        <f t="shared" si="0"/>
        <v>778382583.90999997</v>
      </c>
      <c r="I43" s="423">
        <v>1299470.0900000001</v>
      </c>
      <c r="J43" s="605">
        <v>2.25</v>
      </c>
      <c r="K43" s="157"/>
      <c r="L43" s="34"/>
      <c r="N43" s="10">
        <f t="shared" si="1"/>
        <v>2923808</v>
      </c>
      <c r="P43" s="4"/>
      <c r="Q43" s="4"/>
      <c r="R43" s="4"/>
      <c r="S43" s="4"/>
      <c r="T43" s="4"/>
    </row>
    <row r="44" spans="2:20" s="10" customFormat="1" ht="24.95" customHeight="1" x14ac:dyDescent="0.25">
      <c r="B44" s="440">
        <v>110000092995</v>
      </c>
      <c r="C44" s="517">
        <v>45475</v>
      </c>
      <c r="D44" s="517">
        <v>46080</v>
      </c>
      <c r="E44" s="527" t="s">
        <v>575</v>
      </c>
      <c r="F44" s="547">
        <v>605</v>
      </c>
      <c r="G44" s="516"/>
      <c r="H44" s="56">
        <f t="shared" si="0"/>
        <v>1076490203.25</v>
      </c>
      <c r="I44" s="423">
        <v>1779322.65</v>
      </c>
      <c r="J44" s="605">
        <v>2.25</v>
      </c>
      <c r="K44" s="157"/>
      <c r="L44" s="34"/>
      <c r="N44" s="10">
        <f t="shared" si="1"/>
        <v>4003476</v>
      </c>
      <c r="P44" s="4"/>
      <c r="Q44" s="4"/>
      <c r="R44" s="4"/>
      <c r="S44" s="4"/>
      <c r="T44" s="4"/>
    </row>
    <row r="45" spans="2:20" s="10" customFormat="1" ht="24.95" customHeight="1" x14ac:dyDescent="0.25">
      <c r="B45" s="440">
        <v>11000093876</v>
      </c>
      <c r="C45" s="517">
        <v>45491</v>
      </c>
      <c r="D45" s="517">
        <v>46444</v>
      </c>
      <c r="E45" s="527" t="s">
        <v>519</v>
      </c>
      <c r="F45" s="547">
        <v>953</v>
      </c>
      <c r="G45" s="516"/>
      <c r="H45" s="56">
        <f t="shared" si="0"/>
        <v>2213534519.9699998</v>
      </c>
      <c r="I45" s="423">
        <v>2322701.4900000002</v>
      </c>
      <c r="J45" s="605">
        <v>2.25</v>
      </c>
      <c r="K45" s="157"/>
      <c r="L45" s="34"/>
      <c r="N45" s="10">
        <f t="shared" si="1"/>
        <v>5226078</v>
      </c>
      <c r="P45" s="4"/>
      <c r="Q45" s="4"/>
      <c r="R45" s="4"/>
      <c r="S45" s="4"/>
      <c r="T45" s="4"/>
    </row>
    <row r="46" spans="2:20" s="10" customFormat="1" ht="24.95" customHeight="1" x14ac:dyDescent="0.25">
      <c r="B46" s="440">
        <v>110000092986</v>
      </c>
      <c r="C46" s="517">
        <v>45475</v>
      </c>
      <c r="D46" s="517">
        <v>46444</v>
      </c>
      <c r="E46" s="527" t="s">
        <v>564</v>
      </c>
      <c r="F46" s="547">
        <v>969</v>
      </c>
      <c r="G46" s="516"/>
      <c r="H46" s="56">
        <f t="shared" si="0"/>
        <v>3877326057.1199999</v>
      </c>
      <c r="I46" s="423">
        <v>4001368.48</v>
      </c>
      <c r="J46" s="605">
        <v>2.25</v>
      </c>
      <c r="K46" s="157"/>
      <c r="L46" s="34"/>
      <c r="N46" s="10">
        <f t="shared" si="1"/>
        <v>9003079</v>
      </c>
      <c r="P46" s="4"/>
      <c r="Q46" s="4"/>
      <c r="R46" s="4"/>
      <c r="S46" s="4"/>
      <c r="T46" s="4"/>
    </row>
    <row r="47" spans="2:20" s="10" customFormat="1" ht="24.95" customHeight="1" x14ac:dyDescent="0.25">
      <c r="B47" s="440">
        <v>110000093212</v>
      </c>
      <c r="C47" s="517">
        <v>45481</v>
      </c>
      <c r="D47" s="517">
        <v>46444</v>
      </c>
      <c r="E47" s="527" t="s">
        <v>569</v>
      </c>
      <c r="F47" s="547">
        <v>963</v>
      </c>
      <c r="G47" s="516"/>
      <c r="H47" s="56">
        <f t="shared" si="0"/>
        <v>7335992390.8500004</v>
      </c>
      <c r="I47" s="423">
        <v>7617852.9500000002</v>
      </c>
      <c r="J47" s="605">
        <v>2.25</v>
      </c>
      <c r="K47" s="157"/>
      <c r="L47" s="34"/>
      <c r="N47" s="10">
        <f t="shared" si="1"/>
        <v>17140169</v>
      </c>
      <c r="P47" s="4"/>
      <c r="Q47" s="4"/>
      <c r="R47" s="4"/>
      <c r="S47" s="4"/>
      <c r="T47" s="4"/>
    </row>
    <row r="48" spans="2:20" s="10" customFormat="1" ht="12.75" customHeight="1" x14ac:dyDescent="0.25">
      <c r="B48" s="440"/>
      <c r="C48" s="517"/>
      <c r="D48" s="517"/>
      <c r="E48" s="497"/>
      <c r="F48" s="511"/>
      <c r="G48" s="516"/>
      <c r="H48" s="497"/>
      <c r="I48" s="532"/>
      <c r="J48" s="189"/>
      <c r="K48" s="157"/>
      <c r="L48" s="34"/>
      <c r="P48" s="4"/>
      <c r="Q48" s="4"/>
      <c r="R48" s="4"/>
      <c r="S48" s="4"/>
      <c r="T48" s="4"/>
    </row>
    <row r="49" spans="2:20" s="10" customFormat="1" ht="24.95" customHeight="1" x14ac:dyDescent="0.25">
      <c r="B49" s="632" t="s">
        <v>37</v>
      </c>
      <c r="C49" s="518"/>
      <c r="D49" s="518"/>
      <c r="E49" s="501"/>
      <c r="F49" s="624">
        <f>+H49/I49</f>
        <v>624</v>
      </c>
      <c r="G49" s="633">
        <f>+F49/365</f>
        <v>1.71</v>
      </c>
      <c r="H49" s="384">
        <f>SUM(H50:H86)</f>
        <v>286577623133.42999</v>
      </c>
      <c r="I49" s="522">
        <f>SUM(I50:I86)</f>
        <v>459309046.48000002</v>
      </c>
      <c r="J49" s="563">
        <f>+N49/I49</f>
        <v>4.12</v>
      </c>
      <c r="K49" s="157"/>
      <c r="L49" s="34"/>
      <c r="N49" s="509">
        <f>SUM(N50:N86)</f>
        <v>1892193737</v>
      </c>
      <c r="P49" s="4"/>
      <c r="Q49" s="4"/>
      <c r="R49" s="4"/>
      <c r="S49" s="4"/>
      <c r="T49" s="4"/>
    </row>
    <row r="50" spans="2:20" s="10" customFormat="1" ht="9.75" customHeight="1" x14ac:dyDescent="0.25">
      <c r="B50" s="440"/>
      <c r="C50" s="516"/>
      <c r="D50" s="517"/>
      <c r="E50" s="527"/>
      <c r="F50" s="547"/>
      <c r="G50" s="516"/>
      <c r="H50" s="497"/>
      <c r="I50" s="423"/>
      <c r="J50" s="605"/>
      <c r="K50" s="157"/>
      <c r="L50" s="34"/>
      <c r="P50" s="4"/>
      <c r="Q50" s="4"/>
      <c r="R50" s="4"/>
      <c r="S50" s="4"/>
      <c r="T50" s="4"/>
    </row>
    <row r="51" spans="2:20" s="10" customFormat="1" ht="24.95" customHeight="1" x14ac:dyDescent="0.25">
      <c r="B51" s="440" t="s">
        <v>528</v>
      </c>
      <c r="C51" s="516">
        <v>45485</v>
      </c>
      <c r="D51" s="517">
        <v>45513</v>
      </c>
      <c r="E51" s="527" t="s">
        <v>431</v>
      </c>
      <c r="F51" s="547">
        <v>28</v>
      </c>
      <c r="G51" s="516"/>
      <c r="H51" s="56">
        <f t="shared" ref="H51:H86" si="2">+F51*I51</f>
        <v>3696000000</v>
      </c>
      <c r="I51" s="423">
        <v>132000000</v>
      </c>
      <c r="J51" s="605">
        <v>4</v>
      </c>
      <c r="K51" s="157"/>
      <c r="L51" s="34"/>
      <c r="N51" s="10">
        <f t="shared" ref="N51:N86" si="3">+I51*J51</f>
        <v>528000000</v>
      </c>
      <c r="P51" s="4"/>
      <c r="Q51" s="4"/>
      <c r="R51" s="4"/>
      <c r="S51" s="4"/>
      <c r="T51" s="4"/>
    </row>
    <row r="52" spans="2:20" s="307" customFormat="1" ht="24.95" customHeight="1" x14ac:dyDescent="0.25">
      <c r="B52" s="440" t="s">
        <v>450</v>
      </c>
      <c r="C52" s="517">
        <v>45397</v>
      </c>
      <c r="D52" s="517">
        <v>45709</v>
      </c>
      <c r="E52" s="527" t="s">
        <v>451</v>
      </c>
      <c r="F52" s="547">
        <v>312</v>
      </c>
      <c r="G52" s="516"/>
      <c r="H52" s="56">
        <f t="shared" si="2"/>
        <v>10614240000</v>
      </c>
      <c r="I52" s="423">
        <v>34020000</v>
      </c>
      <c r="J52" s="605">
        <v>6</v>
      </c>
      <c r="K52" s="34"/>
      <c r="N52" s="10">
        <f t="shared" si="3"/>
        <v>204120000</v>
      </c>
      <c r="P52" s="308"/>
      <c r="Q52" s="308"/>
      <c r="R52" s="308"/>
      <c r="S52" s="308"/>
      <c r="T52" s="308"/>
    </row>
    <row r="53" spans="2:20" s="307" customFormat="1" ht="24.95" customHeight="1" x14ac:dyDescent="0.25">
      <c r="B53" s="440" t="s">
        <v>314</v>
      </c>
      <c r="C53" s="517">
        <v>45072</v>
      </c>
      <c r="D53" s="517">
        <v>45716</v>
      </c>
      <c r="E53" s="527" t="s">
        <v>316</v>
      </c>
      <c r="F53" s="547">
        <v>644</v>
      </c>
      <c r="G53" s="516"/>
      <c r="H53" s="56">
        <f t="shared" si="2"/>
        <v>1549184838.8800001</v>
      </c>
      <c r="I53" s="423">
        <v>2405566.52</v>
      </c>
      <c r="J53" s="605">
        <v>2</v>
      </c>
      <c r="K53" s="34"/>
      <c r="N53" s="10">
        <f t="shared" si="3"/>
        <v>4811133</v>
      </c>
      <c r="P53" s="308"/>
      <c r="Q53" s="308"/>
      <c r="R53" s="308"/>
      <c r="S53" s="308"/>
      <c r="T53" s="308"/>
    </row>
    <row r="54" spans="2:20" s="307" customFormat="1" ht="24.95" customHeight="1" x14ac:dyDescent="0.25">
      <c r="B54" s="440" t="s">
        <v>319</v>
      </c>
      <c r="C54" s="517">
        <v>45072</v>
      </c>
      <c r="D54" s="517">
        <v>45716</v>
      </c>
      <c r="E54" s="527" t="s">
        <v>316</v>
      </c>
      <c r="F54" s="547">
        <v>644</v>
      </c>
      <c r="G54" s="516"/>
      <c r="H54" s="56">
        <f t="shared" si="2"/>
        <v>15987989942.959999</v>
      </c>
      <c r="I54" s="423">
        <v>24826071.34</v>
      </c>
      <c r="J54" s="605">
        <v>2</v>
      </c>
      <c r="K54" s="34"/>
      <c r="N54" s="10">
        <f t="shared" si="3"/>
        <v>49652143</v>
      </c>
      <c r="P54" s="308"/>
      <c r="Q54" s="308"/>
      <c r="R54" s="308"/>
      <c r="S54" s="308"/>
      <c r="T54" s="308"/>
    </row>
    <row r="55" spans="2:20" s="307" customFormat="1" ht="24.95" customHeight="1" x14ac:dyDescent="0.25">
      <c r="B55" s="440" t="s">
        <v>335</v>
      </c>
      <c r="C55" s="517">
        <v>45100</v>
      </c>
      <c r="D55" s="517">
        <v>45716</v>
      </c>
      <c r="E55" s="527" t="s">
        <v>336</v>
      </c>
      <c r="F55" s="547">
        <v>616</v>
      </c>
      <c r="G55" s="516"/>
      <c r="H55" s="56">
        <f t="shared" si="2"/>
        <v>4831074925.6000004</v>
      </c>
      <c r="I55" s="423">
        <v>7842654.0999999996</v>
      </c>
      <c r="J55" s="605">
        <v>2</v>
      </c>
      <c r="K55" s="34"/>
      <c r="N55" s="10">
        <f t="shared" si="3"/>
        <v>15685308</v>
      </c>
      <c r="P55" s="308"/>
      <c r="Q55" s="308"/>
      <c r="R55" s="308"/>
      <c r="S55" s="308"/>
      <c r="T55" s="308"/>
    </row>
    <row r="56" spans="2:20" s="307" customFormat="1" ht="24.95" customHeight="1" x14ac:dyDescent="0.25">
      <c r="B56" s="440" t="s">
        <v>337</v>
      </c>
      <c r="C56" s="517">
        <v>45106</v>
      </c>
      <c r="D56" s="517">
        <v>45716</v>
      </c>
      <c r="E56" s="527" t="s">
        <v>338</v>
      </c>
      <c r="F56" s="547">
        <v>610</v>
      </c>
      <c r="G56" s="516"/>
      <c r="H56" s="56">
        <f t="shared" si="2"/>
        <v>1839764806.8</v>
      </c>
      <c r="I56" s="423">
        <v>3016007.88</v>
      </c>
      <c r="J56" s="605">
        <v>2</v>
      </c>
      <c r="K56" s="34"/>
      <c r="N56" s="10">
        <f t="shared" si="3"/>
        <v>6032016</v>
      </c>
      <c r="P56" s="308"/>
      <c r="Q56" s="308"/>
      <c r="R56" s="308"/>
      <c r="S56" s="308"/>
      <c r="T56" s="308"/>
    </row>
    <row r="57" spans="2:20" s="307" customFormat="1" ht="24.95" customHeight="1" x14ac:dyDescent="0.25">
      <c r="B57" s="440" t="s">
        <v>345</v>
      </c>
      <c r="C57" s="517">
        <v>45134</v>
      </c>
      <c r="D57" s="517">
        <v>45716</v>
      </c>
      <c r="E57" s="527" t="s">
        <v>343</v>
      </c>
      <c r="F57" s="547">
        <v>582</v>
      </c>
      <c r="G57" s="516"/>
      <c r="H57" s="56">
        <f t="shared" si="2"/>
        <v>1954866943.6199999</v>
      </c>
      <c r="I57" s="423">
        <v>3358877.91</v>
      </c>
      <c r="J57" s="605">
        <v>2</v>
      </c>
      <c r="K57" s="34"/>
      <c r="N57" s="10">
        <f t="shared" si="3"/>
        <v>6717756</v>
      </c>
      <c r="P57" s="308"/>
      <c r="Q57" s="308"/>
      <c r="R57" s="308"/>
      <c r="S57" s="308"/>
      <c r="T57" s="308"/>
    </row>
    <row r="58" spans="2:20" s="307" customFormat="1" ht="24.95" customHeight="1" x14ac:dyDescent="0.25">
      <c r="B58" s="440" t="s">
        <v>351</v>
      </c>
      <c r="C58" s="517">
        <v>45114</v>
      </c>
      <c r="D58" s="517">
        <v>45716</v>
      </c>
      <c r="E58" s="527" t="s">
        <v>352</v>
      </c>
      <c r="F58" s="547">
        <v>602</v>
      </c>
      <c r="G58" s="516"/>
      <c r="H58" s="56">
        <f t="shared" si="2"/>
        <v>1780054564.54</v>
      </c>
      <c r="I58" s="423">
        <v>2956901.27</v>
      </c>
      <c r="J58" s="605">
        <v>2</v>
      </c>
      <c r="K58" s="34"/>
      <c r="N58" s="10">
        <f t="shared" si="3"/>
        <v>5913803</v>
      </c>
      <c r="P58" s="308"/>
      <c r="Q58" s="308"/>
      <c r="R58" s="308"/>
      <c r="S58" s="308"/>
      <c r="T58" s="308"/>
    </row>
    <row r="59" spans="2:20" s="307" customFormat="1" ht="24.95" customHeight="1" x14ac:dyDescent="0.25">
      <c r="B59" s="440" t="s">
        <v>367</v>
      </c>
      <c r="C59" s="517">
        <v>45142</v>
      </c>
      <c r="D59" s="517">
        <v>45716</v>
      </c>
      <c r="E59" s="527" t="s">
        <v>365</v>
      </c>
      <c r="F59" s="547">
        <v>574</v>
      </c>
      <c r="G59" s="516"/>
      <c r="H59" s="56">
        <f t="shared" si="2"/>
        <v>1515494792.4200001</v>
      </c>
      <c r="I59" s="423">
        <v>2640234.83</v>
      </c>
      <c r="J59" s="605">
        <v>2</v>
      </c>
      <c r="K59" s="34"/>
      <c r="N59" s="10">
        <f t="shared" si="3"/>
        <v>5280470</v>
      </c>
      <c r="P59" s="308"/>
      <c r="Q59" s="308"/>
      <c r="R59" s="308"/>
      <c r="S59" s="308"/>
      <c r="T59" s="308"/>
    </row>
    <row r="60" spans="2:20" s="307" customFormat="1" ht="24.95" customHeight="1" x14ac:dyDescent="0.25">
      <c r="B60" s="440" t="s">
        <v>370</v>
      </c>
      <c r="C60" s="517">
        <v>45146</v>
      </c>
      <c r="D60" s="517">
        <v>45716</v>
      </c>
      <c r="E60" s="527" t="s">
        <v>368</v>
      </c>
      <c r="F60" s="547">
        <v>570</v>
      </c>
      <c r="G60" s="516"/>
      <c r="H60" s="56">
        <f t="shared" si="2"/>
        <v>4702358474.6999998</v>
      </c>
      <c r="I60" s="423">
        <v>8249751.71</v>
      </c>
      <c r="J60" s="605">
        <v>2</v>
      </c>
      <c r="K60" s="34"/>
      <c r="N60" s="10">
        <f t="shared" si="3"/>
        <v>16499503</v>
      </c>
      <c r="P60" s="308"/>
      <c r="Q60" s="308"/>
      <c r="R60" s="308"/>
      <c r="S60" s="308"/>
      <c r="T60" s="308"/>
    </row>
    <row r="61" spans="2:20" s="10" customFormat="1" ht="24.95" customHeight="1" x14ac:dyDescent="0.25">
      <c r="B61" s="314" t="s">
        <v>439</v>
      </c>
      <c r="C61" s="517">
        <v>45211</v>
      </c>
      <c r="D61" s="517">
        <v>45716</v>
      </c>
      <c r="E61" s="527" t="s">
        <v>400</v>
      </c>
      <c r="F61" s="547">
        <v>505</v>
      </c>
      <c r="G61" s="516"/>
      <c r="H61" s="56">
        <f t="shared" si="2"/>
        <v>2034662983.05</v>
      </c>
      <c r="I61" s="423">
        <v>4029035.61</v>
      </c>
      <c r="J61" s="605">
        <v>2</v>
      </c>
      <c r="K61" s="321"/>
      <c r="L61" s="34"/>
      <c r="N61" s="10">
        <f t="shared" si="3"/>
        <v>8058071</v>
      </c>
      <c r="P61" s="4"/>
      <c r="Q61" s="4"/>
      <c r="R61" s="4"/>
      <c r="S61" s="4"/>
      <c r="T61" s="4"/>
    </row>
    <row r="62" spans="2:20" s="307" customFormat="1" ht="24.95" customHeight="1" x14ac:dyDescent="0.25">
      <c r="B62" s="440" t="s">
        <v>372</v>
      </c>
      <c r="C62" s="517">
        <v>45168</v>
      </c>
      <c r="D62" s="517">
        <v>45716</v>
      </c>
      <c r="E62" s="527" t="s">
        <v>373</v>
      </c>
      <c r="F62" s="547">
        <v>548</v>
      </c>
      <c r="G62" s="516"/>
      <c r="H62" s="56">
        <f t="shared" si="2"/>
        <v>260071818.28</v>
      </c>
      <c r="I62" s="423">
        <v>474583.61</v>
      </c>
      <c r="J62" s="605">
        <v>2</v>
      </c>
      <c r="K62" s="34"/>
      <c r="N62" s="10">
        <f t="shared" si="3"/>
        <v>949167</v>
      </c>
      <c r="P62" s="308"/>
      <c r="Q62" s="308"/>
      <c r="R62" s="308"/>
      <c r="S62" s="308"/>
      <c r="T62" s="308"/>
    </row>
    <row r="63" spans="2:20" s="307" customFormat="1" ht="24.95" customHeight="1" x14ac:dyDescent="0.25">
      <c r="B63" s="440" t="s">
        <v>382</v>
      </c>
      <c r="C63" s="517">
        <v>45176</v>
      </c>
      <c r="D63" s="517">
        <v>45716</v>
      </c>
      <c r="E63" s="527" t="s">
        <v>380</v>
      </c>
      <c r="F63" s="547">
        <v>540</v>
      </c>
      <c r="G63" s="516"/>
      <c r="H63" s="56">
        <f t="shared" si="2"/>
        <v>4963076118</v>
      </c>
      <c r="I63" s="423">
        <v>9190881.6999999993</v>
      </c>
      <c r="J63" s="605">
        <v>2</v>
      </c>
      <c r="K63" s="34"/>
      <c r="N63" s="10">
        <f t="shared" si="3"/>
        <v>18381763</v>
      </c>
      <c r="P63" s="308"/>
      <c r="Q63" s="308"/>
      <c r="R63" s="308"/>
      <c r="S63" s="308"/>
      <c r="T63" s="308"/>
    </row>
    <row r="64" spans="2:20" s="307" customFormat="1" ht="24.95" customHeight="1" x14ac:dyDescent="0.25">
      <c r="B64" s="440" t="s">
        <v>448</v>
      </c>
      <c r="C64" s="517">
        <v>45397</v>
      </c>
      <c r="D64" s="517">
        <v>45762</v>
      </c>
      <c r="E64" s="527" t="s">
        <v>444</v>
      </c>
      <c r="F64" s="547">
        <v>365</v>
      </c>
      <c r="G64" s="516"/>
      <c r="H64" s="56">
        <f t="shared" si="2"/>
        <v>2606154297.4000001</v>
      </c>
      <c r="I64" s="423">
        <v>7140148.7599999998</v>
      </c>
      <c r="J64" s="605">
        <v>6</v>
      </c>
      <c r="K64" s="34"/>
      <c r="N64" s="10">
        <f t="shared" si="3"/>
        <v>42840893</v>
      </c>
      <c r="P64" s="308"/>
      <c r="Q64" s="308"/>
      <c r="R64" s="308"/>
      <c r="S64" s="308"/>
      <c r="T64" s="308"/>
    </row>
    <row r="65" spans="2:20" s="307" customFormat="1" ht="24.95" customHeight="1" x14ac:dyDescent="0.25">
      <c r="B65" s="440" t="s">
        <v>452</v>
      </c>
      <c r="C65" s="517">
        <v>45397</v>
      </c>
      <c r="D65" s="517">
        <v>46073</v>
      </c>
      <c r="E65" s="527" t="s">
        <v>453</v>
      </c>
      <c r="F65" s="547">
        <v>676</v>
      </c>
      <c r="G65" s="516"/>
      <c r="H65" s="56">
        <f t="shared" si="2"/>
        <v>22997520000</v>
      </c>
      <c r="I65" s="423">
        <v>34020000</v>
      </c>
      <c r="J65" s="605">
        <v>6</v>
      </c>
      <c r="K65" s="34"/>
      <c r="N65" s="10">
        <f t="shared" si="3"/>
        <v>204120000</v>
      </c>
      <c r="P65" s="308"/>
      <c r="Q65" s="308"/>
      <c r="R65" s="308"/>
      <c r="S65" s="308"/>
      <c r="T65" s="308"/>
    </row>
    <row r="66" spans="2:20" s="10" customFormat="1" ht="24.95" customHeight="1" x14ac:dyDescent="0.25">
      <c r="B66" s="440" t="s">
        <v>446</v>
      </c>
      <c r="C66" s="517">
        <v>45408</v>
      </c>
      <c r="D66" s="517">
        <v>46077</v>
      </c>
      <c r="E66" s="527" t="s">
        <v>333</v>
      </c>
      <c r="F66" s="547">
        <f>2*365</f>
        <v>730</v>
      </c>
      <c r="G66" s="516"/>
      <c r="H66" s="56">
        <f t="shared" si="2"/>
        <v>3066183346.8000002</v>
      </c>
      <c r="I66" s="423">
        <v>4200251.16</v>
      </c>
      <c r="J66" s="605">
        <v>2</v>
      </c>
      <c r="K66" s="157"/>
      <c r="L66" s="34"/>
      <c r="N66" s="10">
        <f t="shared" si="3"/>
        <v>8400502</v>
      </c>
      <c r="P66" s="4"/>
      <c r="Q66" s="4"/>
      <c r="R66" s="4"/>
      <c r="S66" s="4"/>
      <c r="T66" s="4"/>
    </row>
    <row r="67" spans="2:20" s="10" customFormat="1" ht="24.95" customHeight="1" x14ac:dyDescent="0.25">
      <c r="B67" s="440" t="s">
        <v>384</v>
      </c>
      <c r="C67" s="517">
        <v>45189</v>
      </c>
      <c r="D67" s="517">
        <v>46080</v>
      </c>
      <c r="E67" s="527" t="s">
        <v>385</v>
      </c>
      <c r="F67" s="547">
        <v>891</v>
      </c>
      <c r="G67" s="516"/>
      <c r="H67" s="56">
        <f t="shared" si="2"/>
        <v>1841966313.6600001</v>
      </c>
      <c r="I67" s="423">
        <v>2067302.26</v>
      </c>
      <c r="J67" s="605">
        <v>2</v>
      </c>
      <c r="K67" s="157"/>
      <c r="L67" s="34"/>
      <c r="N67" s="10">
        <f t="shared" si="3"/>
        <v>4134605</v>
      </c>
      <c r="P67" s="4"/>
      <c r="Q67" s="4"/>
      <c r="R67" s="4"/>
      <c r="S67" s="4"/>
      <c r="T67" s="4"/>
    </row>
    <row r="68" spans="2:20" s="10" customFormat="1" ht="24.95" customHeight="1" x14ac:dyDescent="0.25">
      <c r="B68" s="440" t="s">
        <v>410</v>
      </c>
      <c r="C68" s="517">
        <v>45231</v>
      </c>
      <c r="D68" s="517">
        <v>46080</v>
      </c>
      <c r="E68" s="527" t="s">
        <v>407</v>
      </c>
      <c r="F68" s="547">
        <v>849</v>
      </c>
      <c r="G68" s="516"/>
      <c r="H68" s="56">
        <f t="shared" si="2"/>
        <v>4211189415.5100002</v>
      </c>
      <c r="I68" s="423">
        <v>4960175.99</v>
      </c>
      <c r="J68" s="605">
        <v>2</v>
      </c>
      <c r="K68" s="157"/>
      <c r="L68" s="34"/>
      <c r="N68" s="10">
        <f t="shared" si="3"/>
        <v>9920352</v>
      </c>
      <c r="P68" s="4"/>
      <c r="Q68" s="4"/>
      <c r="R68" s="4"/>
      <c r="S68" s="4"/>
      <c r="T68" s="4"/>
    </row>
    <row r="69" spans="2:20" s="10" customFormat="1" ht="24.95" customHeight="1" x14ac:dyDescent="0.25">
      <c r="B69" s="440" t="s">
        <v>411</v>
      </c>
      <c r="C69" s="517">
        <v>45257</v>
      </c>
      <c r="D69" s="517">
        <v>46080</v>
      </c>
      <c r="E69" s="527" t="s">
        <v>404</v>
      </c>
      <c r="F69" s="547">
        <v>823</v>
      </c>
      <c r="G69" s="516"/>
      <c r="H69" s="56">
        <f t="shared" si="2"/>
        <v>2173756840.0900002</v>
      </c>
      <c r="I69" s="423">
        <v>2641259.83</v>
      </c>
      <c r="J69" s="605">
        <v>2</v>
      </c>
      <c r="K69" s="157"/>
      <c r="L69" s="34"/>
      <c r="N69" s="10">
        <f t="shared" si="3"/>
        <v>5282520</v>
      </c>
      <c r="P69" s="4"/>
      <c r="Q69" s="4"/>
      <c r="R69" s="4"/>
      <c r="S69" s="4"/>
      <c r="T69" s="4"/>
    </row>
    <row r="70" spans="2:20" s="10" customFormat="1" ht="24.95" customHeight="1" x14ac:dyDescent="0.25">
      <c r="B70" s="440" t="s">
        <v>423</v>
      </c>
      <c r="C70" s="517">
        <v>45265</v>
      </c>
      <c r="D70" s="517">
        <v>46080</v>
      </c>
      <c r="E70" s="527" t="s">
        <v>424</v>
      </c>
      <c r="F70" s="547">
        <v>845</v>
      </c>
      <c r="G70" s="516"/>
      <c r="H70" s="56">
        <f t="shared" si="2"/>
        <v>2578319972.8000002</v>
      </c>
      <c r="I70" s="423">
        <v>3051266.24</v>
      </c>
      <c r="J70" s="605">
        <v>2</v>
      </c>
      <c r="K70" s="157"/>
      <c r="L70" s="34"/>
      <c r="N70" s="10">
        <f t="shared" si="3"/>
        <v>6102532</v>
      </c>
      <c r="P70" s="4"/>
      <c r="Q70" s="4"/>
      <c r="R70" s="4"/>
      <c r="S70" s="4"/>
      <c r="T70" s="4"/>
    </row>
    <row r="71" spans="2:20" s="10" customFormat="1" ht="24.95" customHeight="1" x14ac:dyDescent="0.25">
      <c r="B71" s="440" t="s">
        <v>419</v>
      </c>
      <c r="C71" s="517">
        <v>45266</v>
      </c>
      <c r="D71" s="517">
        <v>46080</v>
      </c>
      <c r="E71" s="527" t="s">
        <v>417</v>
      </c>
      <c r="F71" s="547">
        <v>814</v>
      </c>
      <c r="G71" s="516"/>
      <c r="H71" s="56">
        <f t="shared" si="2"/>
        <v>2016063169.1199999</v>
      </c>
      <c r="I71" s="423">
        <v>2476736.08</v>
      </c>
      <c r="J71" s="605">
        <v>2</v>
      </c>
      <c r="K71" s="157"/>
      <c r="L71" s="34"/>
      <c r="N71" s="10">
        <f t="shared" si="3"/>
        <v>4953472</v>
      </c>
      <c r="P71" s="4"/>
      <c r="Q71" s="4"/>
      <c r="R71" s="4"/>
      <c r="S71" s="4"/>
      <c r="T71" s="4"/>
    </row>
    <row r="72" spans="2:20" s="10" customFormat="1" ht="24.95" customHeight="1" x14ac:dyDescent="0.25">
      <c r="B72" s="440" t="s">
        <v>413</v>
      </c>
      <c r="C72" s="517">
        <v>45274</v>
      </c>
      <c r="D72" s="517">
        <v>46080</v>
      </c>
      <c r="E72" s="527" t="s">
        <v>414</v>
      </c>
      <c r="F72" s="547">
        <v>806</v>
      </c>
      <c r="G72" s="516"/>
      <c r="H72" s="56">
        <f t="shared" si="2"/>
        <v>5879634801.5600004</v>
      </c>
      <c r="I72" s="423">
        <v>7294832.2599999998</v>
      </c>
      <c r="J72" s="605">
        <v>2</v>
      </c>
      <c r="K72" s="157"/>
      <c r="L72" s="34"/>
      <c r="N72" s="10">
        <f t="shared" si="3"/>
        <v>14589665</v>
      </c>
      <c r="P72" s="4"/>
      <c r="Q72" s="4"/>
      <c r="R72" s="4"/>
      <c r="S72" s="4"/>
      <c r="T72" s="4"/>
    </row>
    <row r="73" spans="2:20" s="10" customFormat="1" ht="24.95" customHeight="1" x14ac:dyDescent="0.25">
      <c r="B73" s="440" t="s">
        <v>429</v>
      </c>
      <c r="C73" s="517">
        <v>45294</v>
      </c>
      <c r="D73" s="517">
        <v>46080</v>
      </c>
      <c r="E73" s="527" t="s">
        <v>427</v>
      </c>
      <c r="F73" s="547">
        <v>786</v>
      </c>
      <c r="G73" s="516"/>
      <c r="H73" s="56">
        <f t="shared" si="2"/>
        <v>591049127.39999998</v>
      </c>
      <c r="I73" s="423">
        <v>751970.9</v>
      </c>
      <c r="J73" s="605">
        <v>2</v>
      </c>
      <c r="K73" s="157"/>
      <c r="L73" s="34"/>
      <c r="N73" s="10">
        <f t="shared" si="3"/>
        <v>1503942</v>
      </c>
      <c r="P73" s="4"/>
      <c r="Q73" s="4"/>
      <c r="R73" s="4"/>
      <c r="S73" s="4"/>
      <c r="T73" s="4"/>
    </row>
    <row r="74" spans="2:20" s="10" customFormat="1" ht="24.95" customHeight="1" x14ac:dyDescent="0.25">
      <c r="B74" s="440" t="s">
        <v>433</v>
      </c>
      <c r="C74" s="517">
        <v>45345</v>
      </c>
      <c r="D74" s="517">
        <v>46080</v>
      </c>
      <c r="E74" s="527" t="s">
        <v>434</v>
      </c>
      <c r="F74" s="547">
        <v>735</v>
      </c>
      <c r="G74" s="516"/>
      <c r="H74" s="56">
        <f t="shared" si="2"/>
        <v>2138199877.8</v>
      </c>
      <c r="I74" s="423">
        <v>2909115.48</v>
      </c>
      <c r="J74" s="605">
        <v>2</v>
      </c>
      <c r="K74" s="157"/>
      <c r="L74" s="34"/>
      <c r="N74" s="10">
        <f t="shared" si="3"/>
        <v>5818231</v>
      </c>
      <c r="P74" s="4"/>
      <c r="Q74" s="4"/>
      <c r="R74" s="4"/>
      <c r="S74" s="4"/>
      <c r="T74" s="4"/>
    </row>
    <row r="75" spans="2:20" s="10" customFormat="1" ht="24.95" customHeight="1" x14ac:dyDescent="0.25">
      <c r="B75" s="440" t="s">
        <v>436</v>
      </c>
      <c r="C75" s="517">
        <v>45379</v>
      </c>
      <c r="D75" s="517">
        <v>46080</v>
      </c>
      <c r="E75" s="527" t="s">
        <v>437</v>
      </c>
      <c r="F75" s="547">
        <v>701</v>
      </c>
      <c r="G75" s="516"/>
      <c r="H75" s="56">
        <f t="shared" si="2"/>
        <v>995529433.11000001</v>
      </c>
      <c r="I75" s="423">
        <v>1420156.11</v>
      </c>
      <c r="J75" s="605">
        <v>2</v>
      </c>
      <c r="K75" s="157"/>
      <c r="L75" s="34"/>
      <c r="N75" s="10">
        <f t="shared" si="3"/>
        <v>2840312</v>
      </c>
      <c r="P75" s="4"/>
      <c r="Q75" s="4"/>
      <c r="R75" s="4"/>
      <c r="S75" s="4"/>
      <c r="T75" s="4"/>
    </row>
    <row r="76" spans="2:20" s="10" customFormat="1" ht="24.95" customHeight="1" x14ac:dyDescent="0.25">
      <c r="B76" s="440" t="s">
        <v>471</v>
      </c>
      <c r="C76" s="517">
        <v>45401</v>
      </c>
      <c r="D76" s="517">
        <v>46080</v>
      </c>
      <c r="E76" s="527" t="s">
        <v>469</v>
      </c>
      <c r="F76" s="547">
        <v>679</v>
      </c>
      <c r="G76" s="516"/>
      <c r="H76" s="56">
        <f t="shared" si="2"/>
        <v>1275356818.6800001</v>
      </c>
      <c r="I76" s="423">
        <v>1878286.92</v>
      </c>
      <c r="J76" s="605">
        <v>2</v>
      </c>
      <c r="K76" s="157"/>
      <c r="L76" s="34"/>
      <c r="N76" s="10">
        <f t="shared" si="3"/>
        <v>3756574</v>
      </c>
      <c r="P76" s="4"/>
      <c r="Q76" s="4"/>
      <c r="R76" s="4"/>
      <c r="S76" s="4"/>
      <c r="T76" s="4"/>
    </row>
    <row r="77" spans="2:20" s="10" customFormat="1" ht="24.95" customHeight="1" x14ac:dyDescent="0.25">
      <c r="B77" s="440" t="s">
        <v>476</v>
      </c>
      <c r="C77" s="517">
        <v>45447</v>
      </c>
      <c r="D77" s="517">
        <v>46080</v>
      </c>
      <c r="E77" s="527" t="s">
        <v>477</v>
      </c>
      <c r="F77" s="547">
        <v>633</v>
      </c>
      <c r="G77" s="516"/>
      <c r="H77" s="56">
        <f t="shared" si="2"/>
        <v>18483063102.060001</v>
      </c>
      <c r="I77" s="423">
        <v>29199151.82</v>
      </c>
      <c r="J77" s="605">
        <v>2</v>
      </c>
      <c r="K77" s="157"/>
      <c r="L77" s="34"/>
      <c r="N77" s="10">
        <f t="shared" si="3"/>
        <v>58398304</v>
      </c>
      <c r="P77" s="4"/>
      <c r="Q77" s="4"/>
      <c r="R77" s="4"/>
      <c r="S77" s="4"/>
      <c r="T77" s="4"/>
    </row>
    <row r="78" spans="2:20" s="10" customFormat="1" ht="24.95" customHeight="1" x14ac:dyDescent="0.25">
      <c r="B78" s="440" t="s">
        <v>475</v>
      </c>
      <c r="C78" s="517">
        <v>45432</v>
      </c>
      <c r="D78" s="517">
        <v>46080</v>
      </c>
      <c r="E78" s="527" t="s">
        <v>473</v>
      </c>
      <c r="F78" s="547">
        <v>648</v>
      </c>
      <c r="G78" s="516"/>
      <c r="H78" s="56">
        <f t="shared" si="2"/>
        <v>682569840.96000004</v>
      </c>
      <c r="I78" s="423">
        <v>1053348.52</v>
      </c>
      <c r="J78" s="605">
        <v>2</v>
      </c>
      <c r="K78" s="157"/>
      <c r="L78" s="34"/>
      <c r="N78" s="10">
        <f t="shared" si="3"/>
        <v>2106697</v>
      </c>
      <c r="P78" s="4"/>
      <c r="Q78" s="4"/>
      <c r="R78" s="4"/>
      <c r="S78" s="4"/>
      <c r="T78" s="4"/>
    </row>
    <row r="79" spans="2:20" s="10" customFormat="1" ht="24.95" customHeight="1" x14ac:dyDescent="0.25">
      <c r="B79" s="440" t="s">
        <v>562</v>
      </c>
      <c r="C79" s="517">
        <v>45481</v>
      </c>
      <c r="D79" s="517">
        <v>46080</v>
      </c>
      <c r="E79" s="527" t="s">
        <v>560</v>
      </c>
      <c r="F79" s="547">
        <v>599</v>
      </c>
      <c r="G79" s="516"/>
      <c r="H79" s="56">
        <f t="shared" si="2"/>
        <v>778382583.90999997</v>
      </c>
      <c r="I79" s="423">
        <v>1299470.0900000001</v>
      </c>
      <c r="J79" s="605">
        <v>2</v>
      </c>
      <c r="K79" s="157"/>
      <c r="L79" s="34"/>
      <c r="N79" s="10">
        <f t="shared" si="3"/>
        <v>2598940</v>
      </c>
      <c r="P79" s="4"/>
      <c r="Q79" s="4"/>
      <c r="R79" s="4"/>
      <c r="S79" s="4"/>
      <c r="T79" s="4"/>
    </row>
    <row r="80" spans="2:20" s="10" customFormat="1" ht="24.95" customHeight="1" x14ac:dyDescent="0.25">
      <c r="B80" s="440" t="s">
        <v>577</v>
      </c>
      <c r="C80" s="517">
        <v>45475</v>
      </c>
      <c r="D80" s="517">
        <v>46080</v>
      </c>
      <c r="E80" s="527" t="s">
        <v>575</v>
      </c>
      <c r="F80" s="547">
        <v>605</v>
      </c>
      <c r="G80" s="516"/>
      <c r="H80" s="56">
        <f t="shared" si="2"/>
        <v>1076490203.25</v>
      </c>
      <c r="I80" s="423">
        <v>1779322.65</v>
      </c>
      <c r="J80" s="605">
        <v>2</v>
      </c>
      <c r="K80" s="157"/>
      <c r="L80" s="34"/>
      <c r="N80" s="10">
        <f t="shared" si="3"/>
        <v>3558645</v>
      </c>
      <c r="P80" s="4"/>
      <c r="Q80" s="4"/>
      <c r="R80" s="4"/>
      <c r="S80" s="4"/>
      <c r="T80" s="4"/>
    </row>
    <row r="81" spans="2:20" s="10" customFormat="1" ht="24.95" customHeight="1" x14ac:dyDescent="0.25">
      <c r="B81" s="440" t="s">
        <v>454</v>
      </c>
      <c r="C81" s="517">
        <v>45397</v>
      </c>
      <c r="D81" s="517">
        <v>46440</v>
      </c>
      <c r="E81" s="527" t="s">
        <v>455</v>
      </c>
      <c r="F81" s="547">
        <v>1043</v>
      </c>
      <c r="G81" s="516"/>
      <c r="H81" s="56">
        <f t="shared" si="2"/>
        <v>35482860000</v>
      </c>
      <c r="I81" s="423">
        <v>34020000</v>
      </c>
      <c r="J81" s="605">
        <v>6</v>
      </c>
      <c r="K81" s="157"/>
      <c r="L81" s="34"/>
      <c r="N81" s="10">
        <f t="shared" si="3"/>
        <v>204120000</v>
      </c>
      <c r="P81" s="4"/>
      <c r="Q81" s="4"/>
      <c r="R81" s="4"/>
      <c r="S81" s="4"/>
      <c r="T81" s="4"/>
    </row>
    <row r="82" spans="2:20" s="10" customFormat="1" ht="24.95" customHeight="1" x14ac:dyDescent="0.25">
      <c r="B82" s="440" t="s">
        <v>566</v>
      </c>
      <c r="C82" s="517">
        <v>45475</v>
      </c>
      <c r="D82" s="517">
        <v>46444</v>
      </c>
      <c r="E82" s="527" t="s">
        <v>564</v>
      </c>
      <c r="F82" s="547">
        <v>969</v>
      </c>
      <c r="G82" s="516"/>
      <c r="H82" s="56">
        <f t="shared" si="2"/>
        <v>3877326057.1199999</v>
      </c>
      <c r="I82" s="423">
        <v>4001368.48</v>
      </c>
      <c r="J82" s="605">
        <v>2</v>
      </c>
      <c r="K82" s="157"/>
      <c r="L82" s="34"/>
      <c r="N82" s="10">
        <f t="shared" si="3"/>
        <v>8002737</v>
      </c>
      <c r="P82" s="4"/>
      <c r="Q82" s="4"/>
      <c r="R82" s="4"/>
      <c r="S82" s="4"/>
      <c r="T82" s="4"/>
    </row>
    <row r="83" spans="2:20" s="10" customFormat="1" ht="24.95" customHeight="1" x14ac:dyDescent="0.25">
      <c r="B83" s="440" t="s">
        <v>571</v>
      </c>
      <c r="C83" s="517">
        <v>45481</v>
      </c>
      <c r="D83" s="517">
        <v>46444</v>
      </c>
      <c r="E83" s="527" t="s">
        <v>569</v>
      </c>
      <c r="F83" s="547">
        <v>963</v>
      </c>
      <c r="G83" s="516"/>
      <c r="H83" s="56">
        <f t="shared" si="2"/>
        <v>7335992400.4799995</v>
      </c>
      <c r="I83" s="423">
        <v>7617852.96</v>
      </c>
      <c r="J83" s="605">
        <v>2</v>
      </c>
      <c r="K83" s="157"/>
      <c r="L83" s="34"/>
      <c r="N83" s="10">
        <f t="shared" si="3"/>
        <v>15235706</v>
      </c>
      <c r="P83" s="4"/>
      <c r="Q83" s="4"/>
      <c r="R83" s="4"/>
      <c r="S83" s="4"/>
      <c r="T83" s="4"/>
    </row>
    <row r="84" spans="2:20" s="10" customFormat="1" ht="24.95" customHeight="1" x14ac:dyDescent="0.25">
      <c r="B84" s="440" t="s">
        <v>456</v>
      </c>
      <c r="C84" s="517">
        <v>45397</v>
      </c>
      <c r="D84" s="517">
        <v>46805</v>
      </c>
      <c r="E84" s="527" t="s">
        <v>457</v>
      </c>
      <c r="F84" s="547">
        <v>1408</v>
      </c>
      <c r="G84" s="516"/>
      <c r="H84" s="56">
        <f t="shared" si="2"/>
        <v>47900160000</v>
      </c>
      <c r="I84" s="423">
        <v>34020000</v>
      </c>
      <c r="J84" s="605">
        <v>6</v>
      </c>
      <c r="K84" s="157"/>
      <c r="L84" s="34"/>
      <c r="N84" s="10">
        <f t="shared" si="3"/>
        <v>204120000</v>
      </c>
      <c r="P84" s="4"/>
      <c r="Q84" s="4"/>
      <c r="R84" s="4"/>
      <c r="S84" s="4"/>
      <c r="T84" s="4"/>
    </row>
    <row r="85" spans="2:20" s="10" customFormat="1" ht="24.95" customHeight="1" x14ac:dyDescent="0.25">
      <c r="B85" s="440" t="s">
        <v>458</v>
      </c>
      <c r="C85" s="517">
        <v>45397</v>
      </c>
      <c r="D85" s="517">
        <v>47171</v>
      </c>
      <c r="E85" s="527" t="s">
        <v>459</v>
      </c>
      <c r="F85" s="547">
        <v>1774</v>
      </c>
      <c r="G85" s="516"/>
      <c r="H85" s="56">
        <f t="shared" si="2"/>
        <v>60624253788</v>
      </c>
      <c r="I85" s="423">
        <v>34173762</v>
      </c>
      <c r="J85" s="605">
        <v>6</v>
      </c>
      <c r="K85" s="157"/>
      <c r="L85" s="34"/>
      <c r="N85" s="10">
        <f t="shared" si="3"/>
        <v>205042572</v>
      </c>
      <c r="P85" s="4"/>
      <c r="Q85" s="4"/>
      <c r="R85" s="4"/>
      <c r="S85" s="4"/>
      <c r="T85" s="4"/>
    </row>
    <row r="86" spans="2:20" s="10" customFormat="1" ht="24.95" customHeight="1" x14ac:dyDescent="0.25">
      <c r="B86" s="440" t="s">
        <v>574</v>
      </c>
      <c r="C86" s="517">
        <v>45491</v>
      </c>
      <c r="D86" s="517">
        <v>46444</v>
      </c>
      <c r="E86" s="527" t="s">
        <v>519</v>
      </c>
      <c r="F86" s="547">
        <v>963</v>
      </c>
      <c r="G86" s="516"/>
      <c r="H86" s="56">
        <f t="shared" si="2"/>
        <v>2236761534.8699999</v>
      </c>
      <c r="I86" s="423">
        <v>2322701.4900000002</v>
      </c>
      <c r="J86" s="605">
        <v>2</v>
      </c>
      <c r="K86" s="157"/>
      <c r="L86" s="34"/>
      <c r="N86" s="10">
        <f t="shared" si="3"/>
        <v>4645403</v>
      </c>
      <c r="P86" s="4"/>
      <c r="Q86" s="4"/>
      <c r="R86" s="4"/>
      <c r="S86" s="4"/>
      <c r="T86" s="4"/>
    </row>
    <row r="87" spans="2:20" s="307" customFormat="1" ht="24.95" hidden="1" customHeight="1" x14ac:dyDescent="0.25">
      <c r="B87" s="621" t="s">
        <v>356</v>
      </c>
      <c r="C87" s="630"/>
      <c r="D87" s="587"/>
      <c r="E87" s="623"/>
      <c r="F87" s="511"/>
      <c r="G87" s="587"/>
      <c r="H87" s="623"/>
      <c r="I87" s="533">
        <f>SUM(I88:I88)</f>
        <v>0</v>
      </c>
      <c r="J87" s="605"/>
      <c r="K87" s="34"/>
      <c r="P87" s="308"/>
      <c r="Q87" s="308"/>
      <c r="R87" s="308"/>
      <c r="S87" s="308"/>
      <c r="T87" s="308"/>
    </row>
    <row r="88" spans="2:20" s="307" customFormat="1" ht="24.95" hidden="1" customHeight="1" x14ac:dyDescent="0.25">
      <c r="B88" s="314"/>
      <c r="C88" s="516">
        <v>45096</v>
      </c>
      <c r="D88" s="516">
        <v>45461</v>
      </c>
      <c r="E88" s="527" t="s">
        <v>199</v>
      </c>
      <c r="F88" s="547"/>
      <c r="G88" s="516"/>
      <c r="H88" s="497"/>
      <c r="I88" s="423"/>
      <c r="J88" s="671">
        <v>6</v>
      </c>
      <c r="K88" s="34"/>
      <c r="P88" s="308"/>
      <c r="Q88" s="308"/>
      <c r="R88" s="308"/>
      <c r="S88" s="308"/>
      <c r="T88" s="308"/>
    </row>
    <row r="89" spans="2:20" s="307" customFormat="1" ht="10.5" customHeight="1" x14ac:dyDescent="0.25">
      <c r="B89" s="314"/>
      <c r="C89" s="516"/>
      <c r="D89" s="516"/>
      <c r="E89" s="497"/>
      <c r="F89" s="511"/>
      <c r="G89" s="516"/>
      <c r="H89" s="497"/>
      <c r="I89" s="423"/>
      <c r="J89" s="671"/>
      <c r="K89" s="34"/>
      <c r="P89" s="308"/>
      <c r="Q89" s="308"/>
      <c r="R89" s="308"/>
      <c r="S89" s="308"/>
      <c r="T89" s="308"/>
    </row>
    <row r="90" spans="2:20" s="307" customFormat="1" ht="24.95" customHeight="1" x14ac:dyDescent="0.25">
      <c r="B90" s="607" t="s">
        <v>599</v>
      </c>
      <c r="C90" s="516"/>
      <c r="D90" s="516"/>
      <c r="E90" s="497"/>
      <c r="F90" s="511"/>
      <c r="G90" s="516"/>
      <c r="H90" s="497"/>
      <c r="I90" s="423"/>
      <c r="J90" s="671"/>
      <c r="K90" s="34"/>
      <c r="P90" s="308"/>
      <c r="Q90" s="308"/>
      <c r="R90" s="308"/>
      <c r="S90" s="308"/>
      <c r="T90" s="308"/>
    </row>
    <row r="91" spans="2:20" s="307" customFormat="1" ht="24.95" customHeight="1" x14ac:dyDescent="0.25">
      <c r="B91" s="625" t="s">
        <v>357</v>
      </c>
      <c r="C91" s="630"/>
      <c r="D91" s="587"/>
      <c r="E91" s="623"/>
      <c r="F91" s="511">
        <v>365</v>
      </c>
      <c r="G91" s="562">
        <f>+F91/365</f>
        <v>1</v>
      </c>
      <c r="H91" s="623"/>
      <c r="I91" s="533">
        <f>SUM(I92:I92)</f>
        <v>1923539.11</v>
      </c>
      <c r="J91" s="718">
        <v>6</v>
      </c>
      <c r="K91" s="34"/>
      <c r="P91" s="308"/>
      <c r="Q91" s="308"/>
      <c r="R91" s="308"/>
      <c r="S91" s="308"/>
      <c r="T91" s="308"/>
    </row>
    <row r="92" spans="2:20" s="307" customFormat="1" ht="24.95" customHeight="1" x14ac:dyDescent="0.25">
      <c r="B92" s="538">
        <v>1710142715</v>
      </c>
      <c r="C92" s="452">
        <v>45183</v>
      </c>
      <c r="D92" s="452">
        <v>45548</v>
      </c>
      <c r="E92" s="539" t="s">
        <v>199</v>
      </c>
      <c r="F92" s="600">
        <v>365</v>
      </c>
      <c r="G92" s="716">
        <f>+F92/365</f>
        <v>1</v>
      </c>
      <c r="H92" s="631">
        <f t="shared" ref="H92" si="4">+F92*I92</f>
        <v>702091775.14999998</v>
      </c>
      <c r="I92" s="514">
        <v>1923539.11</v>
      </c>
      <c r="J92" s="717">
        <v>6</v>
      </c>
      <c r="K92" s="34"/>
      <c r="N92" s="10">
        <f t="shared" ref="N92" si="5">+I92*J92</f>
        <v>11541235</v>
      </c>
      <c r="P92" s="308"/>
      <c r="Q92" s="308"/>
      <c r="R92" s="308"/>
      <c r="S92" s="308"/>
      <c r="T92" s="308"/>
    </row>
  </sheetData>
  <sortState ref="B41:J72">
    <sortCondition ref="D41:D72"/>
  </sortState>
  <mergeCells count="15">
    <mergeCell ref="M6:P6"/>
    <mergeCell ref="K6:K7"/>
    <mergeCell ref="N1:P1"/>
    <mergeCell ref="B2:J2"/>
    <mergeCell ref="M2:P2"/>
    <mergeCell ref="B3:J3"/>
    <mergeCell ref="M3:M5"/>
    <mergeCell ref="B5:J5"/>
    <mergeCell ref="B4:J4"/>
    <mergeCell ref="J6:J7"/>
    <mergeCell ref="I6:I7"/>
    <mergeCell ref="B6:B7"/>
    <mergeCell ref="C6:C7"/>
    <mergeCell ref="D6:D7"/>
    <mergeCell ref="G6:G7"/>
  </mergeCells>
  <printOptions horizontalCentered="1" gridLinesSet="0"/>
  <pageMargins left="0.59055118110236227" right="0.59055118110236227" top="0.39370078740157483" bottom="0.39370078740157483" header="0.59055118110236227" footer="0.70866141732283472"/>
  <pageSetup scale="47" fitToHeight="0" orientation="portrait" blackAndWhite="1" useFirstPageNumber="1" r:id="rId1"/>
  <headerFooter alignWithMargins="0">
    <oddFooter>&amp;C&amp;"Arial,Normal"&amp;8Página &amp;P de &amp;N</oddFooter>
  </headerFooter>
  <rowBreaks count="4" manualBreakCount="4">
    <brk id="22" min="1" max="6" man="1"/>
    <brk id="41" min="1" max="6" man="1"/>
    <brk id="60" min="1" max="6" man="1"/>
    <brk id="77" min="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tabColor rgb="FF008000"/>
    <pageSetUpPr fitToPage="1"/>
  </sheetPr>
  <dimension ref="A1:T38"/>
  <sheetViews>
    <sheetView showGridLines="0" zoomScaleNormal="100" zoomScaleSheetLayoutView="85" zoomScalePageLayoutView="33" workbookViewId="0"/>
  </sheetViews>
  <sheetFormatPr baseColWidth="10" defaultColWidth="18" defaultRowHeight="31.5" customHeight="1" x14ac:dyDescent="0.2"/>
  <cols>
    <col min="1" max="1" width="7" style="2" customWidth="1"/>
    <col min="2" max="2" width="34" style="10" customWidth="1"/>
    <col min="3" max="3" width="22" style="10" customWidth="1"/>
    <col min="4" max="4" width="21" style="10" customWidth="1"/>
    <col min="5" max="5" width="14.28515625" style="10" hidden="1" customWidth="1"/>
    <col min="6" max="6" width="18.140625" style="10" hidden="1" customWidth="1"/>
    <col min="7" max="7" width="18.140625" style="10" customWidth="1"/>
    <col min="8" max="8" width="23.140625" style="10" hidden="1" customWidth="1"/>
    <col min="9" max="9" width="23" style="10" customWidth="1"/>
    <col min="10" max="10" width="20.140625" style="19" customWidth="1"/>
    <col min="11" max="11" width="25" style="19" hidden="1" customWidth="1"/>
    <col min="12" max="12" width="21.42578125" style="2" customWidth="1"/>
    <col min="13" max="15" width="18" style="2"/>
    <col min="16" max="20" width="18" style="33"/>
    <col min="21" max="16384" width="18" style="2"/>
  </cols>
  <sheetData>
    <row r="1" spans="1:20" s="17" customFormat="1" ht="13.5" customHeight="1" x14ac:dyDescent="0.25">
      <c r="B1" s="207"/>
      <c r="C1" s="207"/>
      <c r="D1" s="207"/>
      <c r="E1" s="207"/>
      <c r="F1" s="207"/>
      <c r="G1" s="207"/>
      <c r="H1" s="207"/>
      <c r="I1" s="207"/>
      <c r="J1" s="635"/>
      <c r="K1" s="439"/>
      <c r="L1" s="18"/>
      <c r="M1" s="820"/>
      <c r="N1" s="820"/>
      <c r="O1" s="820"/>
      <c r="P1" s="820"/>
      <c r="Q1" s="27"/>
      <c r="R1" s="27"/>
      <c r="S1" s="27"/>
      <c r="T1" s="27"/>
    </row>
    <row r="2" spans="1:20" s="19" customFormat="1" ht="21.95" customHeight="1" x14ac:dyDescent="0.25">
      <c r="B2" s="827" t="s">
        <v>0</v>
      </c>
      <c r="C2" s="827"/>
      <c r="D2" s="827"/>
      <c r="E2" s="827"/>
      <c r="F2" s="827"/>
      <c r="G2" s="827"/>
      <c r="H2" s="827"/>
      <c r="I2" s="827"/>
      <c r="J2" s="827"/>
      <c r="K2" s="437"/>
      <c r="L2" s="821"/>
      <c r="M2" s="821"/>
      <c r="N2" s="821"/>
      <c r="O2" s="821"/>
      <c r="P2" s="821"/>
      <c r="Q2" s="108"/>
      <c r="R2" s="108"/>
      <c r="S2" s="108"/>
      <c r="T2" s="108"/>
    </row>
    <row r="3" spans="1:20" s="315" customFormat="1" ht="21.95" customHeight="1" x14ac:dyDescent="0.25">
      <c r="A3" s="320"/>
      <c r="B3" s="828" t="s">
        <v>115</v>
      </c>
      <c r="C3" s="828"/>
      <c r="D3" s="828"/>
      <c r="E3" s="828"/>
      <c r="F3" s="828"/>
      <c r="G3" s="828"/>
      <c r="H3" s="828"/>
      <c r="I3" s="828"/>
      <c r="J3" s="828"/>
      <c r="K3" s="438"/>
      <c r="L3" s="818"/>
      <c r="M3" s="25"/>
      <c r="N3" s="25"/>
      <c r="O3" s="25"/>
      <c r="P3" s="25"/>
      <c r="Q3" s="108"/>
      <c r="R3" s="108"/>
      <c r="S3" s="108"/>
      <c r="T3" s="320"/>
    </row>
    <row r="4" spans="1:20" s="315" customFormat="1" ht="21.95" customHeight="1" x14ac:dyDescent="0.25">
      <c r="A4" s="320"/>
      <c r="B4" s="828" t="s">
        <v>72</v>
      </c>
      <c r="C4" s="828"/>
      <c r="D4" s="828"/>
      <c r="E4" s="828"/>
      <c r="F4" s="828"/>
      <c r="G4" s="828"/>
      <c r="H4" s="828"/>
      <c r="I4" s="828"/>
      <c r="J4" s="828"/>
      <c r="K4" s="438"/>
      <c r="L4" s="818"/>
      <c r="M4" s="25"/>
      <c r="N4" s="25"/>
      <c r="O4" s="25"/>
      <c r="P4" s="25"/>
      <c r="Q4" s="108"/>
      <c r="R4" s="108"/>
      <c r="S4" s="108"/>
      <c r="T4" s="320"/>
    </row>
    <row r="5" spans="1:20" s="19" customFormat="1" ht="21.95" customHeight="1" x14ac:dyDescent="0.25">
      <c r="B5" s="829" t="str">
        <f>'VENC. '!$B$4</f>
        <v>AL 31 DE JULIO  DE 2024</v>
      </c>
      <c r="C5" s="829"/>
      <c r="D5" s="829"/>
      <c r="E5" s="829"/>
      <c r="F5" s="829"/>
      <c r="G5" s="829"/>
      <c r="H5" s="829"/>
      <c r="I5" s="829"/>
      <c r="J5" s="829"/>
      <c r="K5" s="437"/>
      <c r="L5" s="818"/>
      <c r="M5" s="4"/>
      <c r="P5" s="108"/>
      <c r="Q5" s="108"/>
      <c r="R5" s="108"/>
      <c r="S5" s="108"/>
      <c r="T5" s="108"/>
    </row>
    <row r="6" spans="1:20" ht="40.5" customHeight="1" x14ac:dyDescent="0.2">
      <c r="B6" s="825" t="s">
        <v>1</v>
      </c>
      <c r="C6" s="813" t="s">
        <v>594</v>
      </c>
      <c r="D6" s="813" t="s">
        <v>595</v>
      </c>
      <c r="E6" s="568" t="s">
        <v>2</v>
      </c>
      <c r="F6" s="568" t="s">
        <v>588</v>
      </c>
      <c r="G6" s="812" t="s">
        <v>596</v>
      </c>
      <c r="H6" s="436"/>
      <c r="I6" s="811" t="s">
        <v>598</v>
      </c>
      <c r="J6" s="825" t="s">
        <v>3</v>
      </c>
      <c r="K6" s="472"/>
      <c r="L6" s="822"/>
      <c r="M6" s="822"/>
      <c r="N6" s="822"/>
      <c r="O6" s="822"/>
      <c r="P6" s="822"/>
    </row>
    <row r="7" spans="1:20" ht="31.5" customHeight="1" x14ac:dyDescent="0.2">
      <c r="B7" s="826"/>
      <c r="C7" s="814"/>
      <c r="D7" s="814"/>
      <c r="E7" s="569"/>
      <c r="F7" s="569"/>
      <c r="G7" s="812"/>
      <c r="H7" s="340"/>
      <c r="I7" s="811"/>
      <c r="J7" s="826"/>
      <c r="K7" s="472"/>
      <c r="L7" s="108"/>
      <c r="M7" s="18"/>
      <c r="N7" s="18"/>
      <c r="O7" s="18"/>
      <c r="P7" s="18"/>
      <c r="Q7" s="27"/>
    </row>
    <row r="8" spans="1:20" s="10" customFormat="1" ht="60" customHeight="1" x14ac:dyDescent="0.25">
      <c r="B8" s="638" t="s">
        <v>55</v>
      </c>
      <c r="C8" s="650"/>
      <c r="D8" s="650"/>
      <c r="E8" s="639"/>
      <c r="F8" s="488"/>
      <c r="G8" s="659"/>
      <c r="H8" s="488"/>
      <c r="I8" s="660">
        <f>SUM(I9)+I20+I29+I31+I33</f>
        <v>512927528.72000003</v>
      </c>
      <c r="J8" s="693">
        <f>+K8/I8</f>
        <v>3.49</v>
      </c>
      <c r="K8" s="660">
        <f>SUM(K9)+K20+K29+K31+K33</f>
        <v>1791325647.24</v>
      </c>
      <c r="P8" s="4"/>
      <c r="Q8" s="4"/>
      <c r="R8" s="4"/>
      <c r="S8" s="4"/>
      <c r="T8" s="4"/>
    </row>
    <row r="9" spans="1:20" s="10" customFormat="1" ht="24.95" customHeight="1" x14ac:dyDescent="0.25">
      <c r="B9" s="637" t="s">
        <v>54</v>
      </c>
      <c r="C9" s="651"/>
      <c r="D9" s="642"/>
      <c r="E9" s="642"/>
      <c r="F9" s="643">
        <f>+H9/I9</f>
        <v>51</v>
      </c>
      <c r="G9" s="644">
        <f>+F9/365</f>
        <v>0.14000000000000001</v>
      </c>
      <c r="H9" s="384">
        <f>SUM(H10:H18)</f>
        <v>22208194892.25</v>
      </c>
      <c r="I9" s="662">
        <f>SUM(I10:I18)</f>
        <v>437755095.89999998</v>
      </c>
      <c r="J9" s="693">
        <f>+K9/I9</f>
        <v>3.25</v>
      </c>
      <c r="K9" s="191">
        <f>SUM(K10:K18)</f>
        <v>1423033486.3299999</v>
      </c>
      <c r="P9" s="4"/>
      <c r="Q9" s="4"/>
      <c r="R9" s="4"/>
      <c r="S9" s="4"/>
      <c r="T9" s="4"/>
    </row>
    <row r="10" spans="1:20" s="10" customFormat="1" ht="24.95" customHeight="1" x14ac:dyDescent="0.25">
      <c r="B10" s="314">
        <v>150000173561</v>
      </c>
      <c r="C10" s="516">
        <v>45504</v>
      </c>
      <c r="D10" s="526">
        <v>45505</v>
      </c>
      <c r="E10" s="516" t="s">
        <v>587</v>
      </c>
      <c r="F10" s="454">
        <v>1</v>
      </c>
      <c r="G10" s="454"/>
      <c r="H10" s="645">
        <f t="shared" ref="H10:H18" si="0">+I10*F10</f>
        <v>196684461.93000001</v>
      </c>
      <c r="I10" s="645">
        <v>196684461.93000001</v>
      </c>
      <c r="J10" s="694">
        <v>3.25</v>
      </c>
      <c r="K10" s="166">
        <f>+I10*J10</f>
        <v>639224501.26999998</v>
      </c>
      <c r="P10" s="4"/>
      <c r="Q10" s="4"/>
      <c r="R10" s="4"/>
      <c r="S10" s="4"/>
      <c r="T10" s="4"/>
    </row>
    <row r="11" spans="1:20" s="10" customFormat="1" ht="24.95" customHeight="1" x14ac:dyDescent="0.25">
      <c r="B11" s="314">
        <v>150000173570</v>
      </c>
      <c r="C11" s="516">
        <v>45504</v>
      </c>
      <c r="D11" s="526">
        <v>45505</v>
      </c>
      <c r="E11" s="516" t="s">
        <v>587</v>
      </c>
      <c r="F11" s="454">
        <v>1</v>
      </c>
      <c r="G11" s="454"/>
      <c r="H11" s="645">
        <f t="shared" si="0"/>
        <v>83315538.069999993</v>
      </c>
      <c r="I11" s="645">
        <v>83315538.069999993</v>
      </c>
      <c r="J11" s="694">
        <v>3.25</v>
      </c>
      <c r="K11" s="166">
        <f t="shared" ref="K11:K18" si="1">+I11*J11</f>
        <v>270775498.73000002</v>
      </c>
      <c r="P11" s="4"/>
      <c r="Q11" s="4"/>
      <c r="R11" s="4"/>
      <c r="S11" s="4"/>
      <c r="T11" s="4"/>
    </row>
    <row r="12" spans="1:20" s="10" customFormat="1" ht="24.95" customHeight="1" x14ac:dyDescent="0.25">
      <c r="B12" s="314">
        <v>150000173580</v>
      </c>
      <c r="C12" s="516">
        <v>45504</v>
      </c>
      <c r="D12" s="526">
        <v>45505</v>
      </c>
      <c r="E12" s="516" t="s">
        <v>587</v>
      </c>
      <c r="F12" s="454">
        <v>1</v>
      </c>
      <c r="G12" s="454"/>
      <c r="H12" s="645">
        <f t="shared" si="0"/>
        <v>150270000</v>
      </c>
      <c r="I12" s="645">
        <v>150270000</v>
      </c>
      <c r="J12" s="694">
        <v>3.25</v>
      </c>
      <c r="K12" s="166">
        <f t="shared" si="1"/>
        <v>488377500</v>
      </c>
      <c r="P12" s="4"/>
      <c r="Q12" s="4"/>
      <c r="R12" s="4"/>
      <c r="S12" s="4"/>
      <c r="T12" s="4"/>
    </row>
    <row r="13" spans="1:20" s="10" customFormat="1" ht="24.95" customHeight="1" x14ac:dyDescent="0.25">
      <c r="B13" s="442">
        <v>110000053315</v>
      </c>
      <c r="C13" s="518">
        <v>42916</v>
      </c>
      <c r="D13" s="542">
        <v>45838</v>
      </c>
      <c r="E13" s="519" t="s">
        <v>47</v>
      </c>
      <c r="F13" s="646">
        <f>365*8</f>
        <v>2920</v>
      </c>
      <c r="G13" s="646"/>
      <c r="H13" s="645">
        <f t="shared" si="0"/>
        <v>6754457422</v>
      </c>
      <c r="I13" s="645">
        <v>2313170.35</v>
      </c>
      <c r="J13" s="694">
        <v>3.25</v>
      </c>
      <c r="K13" s="166">
        <f t="shared" si="1"/>
        <v>7517803.6399999997</v>
      </c>
      <c r="P13" s="4"/>
      <c r="Q13" s="4"/>
      <c r="R13" s="4"/>
      <c r="S13" s="4"/>
      <c r="T13" s="4"/>
    </row>
    <row r="14" spans="1:20" s="10" customFormat="1" ht="24.95" customHeight="1" x14ac:dyDescent="0.25">
      <c r="B14" s="442">
        <v>110000055015</v>
      </c>
      <c r="C14" s="518">
        <v>42964</v>
      </c>
      <c r="D14" s="542">
        <v>45887</v>
      </c>
      <c r="E14" s="519" t="s">
        <v>47</v>
      </c>
      <c r="F14" s="646">
        <f>365*8</f>
        <v>2920</v>
      </c>
      <c r="G14" s="646"/>
      <c r="H14" s="645">
        <f t="shared" si="0"/>
        <v>11334388.800000001</v>
      </c>
      <c r="I14" s="645">
        <f>554.52+554.52+554.52+554.52+554.52+554.52+554.52</f>
        <v>3881.64</v>
      </c>
      <c r="J14" s="694">
        <v>3.25</v>
      </c>
      <c r="K14" s="166">
        <f t="shared" si="1"/>
        <v>12615.33</v>
      </c>
      <c r="P14" s="4"/>
      <c r="Q14" s="4"/>
      <c r="R14" s="4"/>
      <c r="S14" s="4"/>
      <c r="T14" s="4"/>
    </row>
    <row r="15" spans="1:20" s="10" customFormat="1" ht="24.95" customHeight="1" x14ac:dyDescent="0.25">
      <c r="B15" s="314">
        <v>110000083996</v>
      </c>
      <c r="C15" s="516">
        <v>44902</v>
      </c>
      <c r="D15" s="527">
        <v>46000</v>
      </c>
      <c r="E15" s="516" t="s">
        <v>9</v>
      </c>
      <c r="F15" s="454">
        <f>365*3</f>
        <v>1095</v>
      </c>
      <c r="G15" s="454"/>
      <c r="H15" s="645">
        <f t="shared" si="0"/>
        <v>22364937</v>
      </c>
      <c r="I15" s="645">
        <f>2917.8+2917.8+2917.8+2917.8+2917.8+2917.8+2917.8</f>
        <v>20424.599999999999</v>
      </c>
      <c r="J15" s="694">
        <v>4.95</v>
      </c>
      <c r="K15" s="166">
        <f t="shared" si="1"/>
        <v>101101.77</v>
      </c>
      <c r="P15" s="4"/>
      <c r="Q15" s="4"/>
      <c r="R15" s="4"/>
      <c r="S15" s="4"/>
      <c r="T15" s="4"/>
    </row>
    <row r="16" spans="1:20" s="10" customFormat="1" ht="24.95" customHeight="1" x14ac:dyDescent="0.25">
      <c r="B16" s="314">
        <v>110000084008</v>
      </c>
      <c r="C16" s="516">
        <v>44902</v>
      </c>
      <c r="D16" s="527">
        <v>46000</v>
      </c>
      <c r="E16" s="516" t="s">
        <v>9</v>
      </c>
      <c r="F16" s="454">
        <f>365*3</f>
        <v>1095</v>
      </c>
      <c r="G16" s="454"/>
      <c r="H16" s="645">
        <f t="shared" si="0"/>
        <v>20517748.649999999</v>
      </c>
      <c r="I16" s="645">
        <f>2676.81+2676.81+2676.81+2676.81+2676.81+2676.81+2676.81</f>
        <v>18737.669999999998</v>
      </c>
      <c r="J16" s="694">
        <v>4.95</v>
      </c>
      <c r="K16" s="166">
        <f t="shared" si="1"/>
        <v>92751.47</v>
      </c>
      <c r="P16" s="4"/>
      <c r="Q16" s="4"/>
      <c r="R16" s="4"/>
      <c r="S16" s="4"/>
      <c r="T16" s="4"/>
    </row>
    <row r="17" spans="1:20" s="10" customFormat="1" ht="24.95" customHeight="1" x14ac:dyDescent="0.25">
      <c r="B17" s="314">
        <v>110000084017</v>
      </c>
      <c r="C17" s="516">
        <v>44902</v>
      </c>
      <c r="D17" s="527">
        <v>46000</v>
      </c>
      <c r="E17" s="516" t="s">
        <v>9</v>
      </c>
      <c r="F17" s="454">
        <f>365*3</f>
        <v>1095</v>
      </c>
      <c r="G17" s="454"/>
      <c r="H17" s="645">
        <f t="shared" si="0"/>
        <v>4250395.8</v>
      </c>
      <c r="I17" s="645">
        <f>554.52+554.52+554.52+554.52+554.52+554.52+554.52</f>
        <v>3881.64</v>
      </c>
      <c r="J17" s="694">
        <v>4.95</v>
      </c>
      <c r="K17" s="166">
        <f t="shared" si="1"/>
        <v>19214.12</v>
      </c>
      <c r="P17" s="4"/>
      <c r="Q17" s="4"/>
      <c r="R17" s="4"/>
      <c r="S17" s="4"/>
      <c r="T17" s="4"/>
    </row>
    <row r="18" spans="1:20" s="10" customFormat="1" ht="24.95" customHeight="1" x14ac:dyDescent="0.25">
      <c r="B18" s="314">
        <v>110000058643</v>
      </c>
      <c r="C18" s="516" t="s">
        <v>75</v>
      </c>
      <c r="D18" s="527" t="s">
        <v>76</v>
      </c>
      <c r="E18" s="516" t="s">
        <v>47</v>
      </c>
      <c r="F18" s="646">
        <f>365*8</f>
        <v>2920</v>
      </c>
      <c r="G18" s="646"/>
      <c r="H18" s="645">
        <f t="shared" si="0"/>
        <v>14965000000</v>
      </c>
      <c r="I18" s="645">
        <v>5125000</v>
      </c>
      <c r="J18" s="694">
        <v>3.3</v>
      </c>
      <c r="K18" s="166">
        <f t="shared" si="1"/>
        <v>16912500</v>
      </c>
      <c r="P18" s="4"/>
      <c r="Q18" s="4"/>
      <c r="R18" s="4"/>
      <c r="S18" s="4"/>
      <c r="T18" s="4"/>
    </row>
    <row r="19" spans="1:20" s="10" customFormat="1" ht="24.95" customHeight="1" x14ac:dyDescent="0.25">
      <c r="B19" s="314"/>
      <c r="C19" s="516"/>
      <c r="D19" s="452"/>
      <c r="E19" s="497"/>
      <c r="F19" s="647"/>
      <c r="G19" s="657"/>
      <c r="H19" s="441"/>
      <c r="I19" s="658"/>
      <c r="J19" s="605"/>
      <c r="K19" s="441"/>
      <c r="P19" s="4"/>
      <c r="Q19" s="4"/>
      <c r="R19" s="4"/>
      <c r="S19" s="4"/>
      <c r="T19" s="4"/>
    </row>
    <row r="20" spans="1:20" s="10" customFormat="1" ht="24.95" customHeight="1" x14ac:dyDescent="0.25">
      <c r="B20" s="652" t="s">
        <v>37</v>
      </c>
      <c r="C20" s="653"/>
      <c r="D20" s="654"/>
      <c r="E20" s="654"/>
      <c r="F20" s="655">
        <f>+H20/I20</f>
        <v>2257</v>
      </c>
      <c r="G20" s="661">
        <f>+F20/365</f>
        <v>6.18</v>
      </c>
      <c r="H20" s="656">
        <f>SUM(H21:H28)</f>
        <v>169640741735.60001</v>
      </c>
      <c r="I20" s="660">
        <f>SUM(I21:I28)</f>
        <v>75172432.819999993</v>
      </c>
      <c r="J20" s="695">
        <f>+K20/I20</f>
        <v>4.9000000000000004</v>
      </c>
      <c r="K20" s="191">
        <f>SUM(K21:K28)</f>
        <v>368292160.91000003</v>
      </c>
      <c r="P20" s="4"/>
      <c r="Q20" s="4"/>
      <c r="R20" s="4"/>
      <c r="S20" s="4"/>
      <c r="T20" s="4"/>
    </row>
    <row r="21" spans="1:20" s="10" customFormat="1" ht="24.95" hidden="1" customHeight="1" x14ac:dyDescent="0.25">
      <c r="B21" s="442"/>
      <c r="C21" s="518">
        <v>45429</v>
      </c>
      <c r="D21" s="546">
        <v>45457</v>
      </c>
      <c r="E21" s="519" t="s">
        <v>431</v>
      </c>
      <c r="F21" s="519"/>
      <c r="G21" s="519"/>
      <c r="H21" s="519"/>
      <c r="I21" s="645"/>
      <c r="J21" s="694">
        <v>4.1879999999999997</v>
      </c>
      <c r="K21" s="177"/>
      <c r="P21" s="4"/>
      <c r="Q21" s="4"/>
      <c r="R21" s="4"/>
      <c r="S21" s="4"/>
      <c r="T21" s="4"/>
    </row>
    <row r="22" spans="1:20" s="10" customFormat="1" ht="24.95" hidden="1" customHeight="1" x14ac:dyDescent="0.25">
      <c r="A22" s="29"/>
      <c r="B22" s="442"/>
      <c r="C22" s="519" t="s">
        <v>85</v>
      </c>
      <c r="D22" s="546" t="s">
        <v>86</v>
      </c>
      <c r="E22" s="519" t="s">
        <v>16</v>
      </c>
      <c r="F22" s="519"/>
      <c r="G22" s="519"/>
      <c r="H22" s="519"/>
      <c r="I22" s="645"/>
      <c r="J22" s="694">
        <v>4.25</v>
      </c>
      <c r="K22" s="177"/>
      <c r="L22" s="490"/>
      <c r="P22" s="4"/>
      <c r="Q22" s="4"/>
      <c r="R22" s="4"/>
      <c r="S22" s="4"/>
      <c r="T22" s="4"/>
    </row>
    <row r="23" spans="1:20" s="10" customFormat="1" ht="24.95" customHeight="1" x14ac:dyDescent="0.25">
      <c r="B23" s="442" t="s">
        <v>88</v>
      </c>
      <c r="C23" s="518">
        <v>43318</v>
      </c>
      <c r="D23" s="542">
        <v>45509</v>
      </c>
      <c r="E23" s="519" t="s">
        <v>16</v>
      </c>
      <c r="F23" s="646">
        <f>6*365</f>
        <v>2190</v>
      </c>
      <c r="G23" s="519"/>
      <c r="H23" s="645">
        <f t="shared" ref="H23:H28" si="2">+I23*F23</f>
        <v>3285000000</v>
      </c>
      <c r="I23" s="645">
        <v>1500000</v>
      </c>
      <c r="J23" s="694">
        <v>4.875</v>
      </c>
      <c r="K23" s="166">
        <f t="shared" ref="K23:K28" si="3">+I23*J23</f>
        <v>7312500</v>
      </c>
      <c r="P23" s="4"/>
      <c r="Q23" s="4"/>
      <c r="R23" s="4"/>
      <c r="S23" s="4"/>
      <c r="T23" s="4"/>
    </row>
    <row r="24" spans="1:20" s="17" customFormat="1" ht="24.95" customHeight="1" x14ac:dyDescent="0.25">
      <c r="B24" s="442" t="s">
        <v>93</v>
      </c>
      <c r="C24" s="518">
        <v>43340</v>
      </c>
      <c r="D24" s="542">
        <v>45530</v>
      </c>
      <c r="E24" s="519" t="s">
        <v>16</v>
      </c>
      <c r="F24" s="646">
        <f>6*365</f>
        <v>2190</v>
      </c>
      <c r="G24" s="519"/>
      <c r="H24" s="645">
        <f t="shared" si="2"/>
        <v>36719546499.900002</v>
      </c>
      <c r="I24" s="645">
        <v>16766916.210000001</v>
      </c>
      <c r="J24" s="696">
        <v>4.875</v>
      </c>
      <c r="K24" s="166">
        <f t="shared" si="3"/>
        <v>81738716.519999996</v>
      </c>
      <c r="O24" s="27"/>
      <c r="P24" s="27"/>
      <c r="Q24" s="27"/>
      <c r="R24" s="27"/>
      <c r="S24" s="27"/>
    </row>
    <row r="25" spans="1:20" s="10" customFormat="1" ht="24.95" customHeight="1" x14ac:dyDescent="0.25">
      <c r="B25" s="442" t="s">
        <v>64</v>
      </c>
      <c r="C25" s="518">
        <v>43017</v>
      </c>
      <c r="D25" s="546">
        <v>45574</v>
      </c>
      <c r="E25" s="519" t="s">
        <v>5</v>
      </c>
      <c r="F25" s="646">
        <f>7*365</f>
        <v>2555</v>
      </c>
      <c r="G25" s="519"/>
      <c r="H25" s="645">
        <f t="shared" si="2"/>
        <v>12421808476.35</v>
      </c>
      <c r="I25" s="645">
        <v>4861764.57</v>
      </c>
      <c r="J25" s="694">
        <v>4.5</v>
      </c>
      <c r="K25" s="166">
        <f t="shared" si="3"/>
        <v>21877940.57</v>
      </c>
      <c r="P25" s="4"/>
      <c r="Q25" s="4"/>
      <c r="R25" s="4"/>
      <c r="S25" s="4"/>
      <c r="T25" s="4"/>
    </row>
    <row r="26" spans="1:20" s="10" customFormat="1" ht="24.95" customHeight="1" x14ac:dyDescent="0.25">
      <c r="B26" s="442" t="s">
        <v>121</v>
      </c>
      <c r="C26" s="518">
        <v>43815</v>
      </c>
      <c r="D26" s="546">
        <v>45642</v>
      </c>
      <c r="E26" s="519" t="s">
        <v>6</v>
      </c>
      <c r="F26" s="646">
        <f>5*365</f>
        <v>1825</v>
      </c>
      <c r="G26" s="519"/>
      <c r="H26" s="645">
        <f t="shared" si="2"/>
        <v>5211755393.5</v>
      </c>
      <c r="I26" s="645">
        <v>2855756.38</v>
      </c>
      <c r="J26" s="694">
        <v>4</v>
      </c>
      <c r="K26" s="166">
        <f t="shared" si="3"/>
        <v>11423025.52</v>
      </c>
      <c r="P26" s="4"/>
      <c r="Q26" s="4"/>
      <c r="R26" s="4"/>
      <c r="S26" s="4"/>
      <c r="T26" s="4"/>
    </row>
    <row r="27" spans="1:20" s="10" customFormat="1" ht="24.95" customHeight="1" x14ac:dyDescent="0.25">
      <c r="B27" s="442" t="s">
        <v>110</v>
      </c>
      <c r="C27" s="518">
        <v>43511</v>
      </c>
      <c r="D27" s="546">
        <v>45702</v>
      </c>
      <c r="E27" s="519" t="s">
        <v>16</v>
      </c>
      <c r="F27" s="646">
        <f>6*365</f>
        <v>2190</v>
      </c>
      <c r="G27" s="519"/>
      <c r="H27" s="645">
        <f t="shared" si="2"/>
        <v>82036185272.699997</v>
      </c>
      <c r="I27" s="645">
        <v>37459445.329999998</v>
      </c>
      <c r="J27" s="694">
        <v>5</v>
      </c>
      <c r="K27" s="166">
        <f t="shared" si="3"/>
        <v>187297226.65000001</v>
      </c>
      <c r="P27" s="4"/>
      <c r="Q27" s="4"/>
      <c r="R27" s="4"/>
      <c r="S27" s="4"/>
      <c r="T27" s="4"/>
    </row>
    <row r="28" spans="1:20" s="10" customFormat="1" ht="24.95" customHeight="1" x14ac:dyDescent="0.25">
      <c r="B28" s="648" t="s">
        <v>94</v>
      </c>
      <c r="C28" s="545">
        <v>43403</v>
      </c>
      <c r="D28" s="649">
        <v>45960</v>
      </c>
      <c r="E28" s="450" t="s">
        <v>5</v>
      </c>
      <c r="F28" s="640">
        <f>7*365</f>
        <v>2555</v>
      </c>
      <c r="G28" s="450"/>
      <c r="H28" s="641">
        <f t="shared" si="2"/>
        <v>29966446093.150002</v>
      </c>
      <c r="I28" s="641">
        <v>11728550.33</v>
      </c>
      <c r="J28" s="697">
        <v>5</v>
      </c>
      <c r="K28" s="166">
        <f t="shared" si="3"/>
        <v>58642751.649999999</v>
      </c>
      <c r="P28" s="4"/>
      <c r="Q28" s="4"/>
      <c r="R28" s="4"/>
      <c r="S28" s="4"/>
      <c r="T28" s="4"/>
    </row>
    <row r="29" spans="1:20" s="10" customFormat="1" ht="24.75" hidden="1" customHeight="1" x14ac:dyDescent="0.25">
      <c r="B29" s="195" t="s">
        <v>39</v>
      </c>
      <c r="C29" s="190"/>
      <c r="D29" s="190"/>
      <c r="E29" s="190"/>
      <c r="F29" s="190"/>
      <c r="G29" s="190"/>
      <c r="H29" s="190"/>
      <c r="I29" s="32">
        <f>SUM(I30:I30)</f>
        <v>0</v>
      </c>
      <c r="J29" s="189"/>
      <c r="K29" s="194"/>
      <c r="P29" s="4"/>
      <c r="Q29" s="4"/>
      <c r="R29" s="4"/>
      <c r="S29" s="4"/>
      <c r="T29" s="4"/>
    </row>
    <row r="30" spans="1:20" s="10" customFormat="1" ht="24.75" hidden="1" customHeight="1" x14ac:dyDescent="0.25">
      <c r="A30" s="29"/>
      <c r="B30" s="180"/>
      <c r="C30" s="192"/>
      <c r="D30" s="144"/>
      <c r="E30" s="193"/>
      <c r="F30" s="193"/>
      <c r="G30" s="193"/>
      <c r="H30" s="193"/>
      <c r="I30" s="178"/>
      <c r="J30" s="177"/>
      <c r="K30" s="177"/>
      <c r="P30" s="4"/>
      <c r="Q30" s="4"/>
      <c r="R30" s="4"/>
      <c r="S30" s="4"/>
      <c r="T30" s="4"/>
    </row>
    <row r="31" spans="1:20" s="10" customFormat="1" ht="24.75" hidden="1" customHeight="1" x14ac:dyDescent="0.25">
      <c r="B31" s="195" t="s">
        <v>48</v>
      </c>
      <c r="C31" s="190"/>
      <c r="D31" s="190"/>
      <c r="E31" s="190"/>
      <c r="F31" s="190"/>
      <c r="G31" s="190"/>
      <c r="H31" s="190"/>
      <c r="I31" s="32">
        <f>SUM(I32:I32)</f>
        <v>0</v>
      </c>
      <c r="J31" s="194"/>
      <c r="K31" s="194"/>
      <c r="P31" s="4"/>
      <c r="Q31" s="4"/>
      <c r="R31" s="4"/>
      <c r="S31" s="4"/>
      <c r="T31" s="4"/>
    </row>
    <row r="32" spans="1:20" s="10" customFormat="1" ht="24.75" hidden="1" customHeight="1" x14ac:dyDescent="0.25">
      <c r="B32" s="180"/>
      <c r="C32" s="192"/>
      <c r="D32" s="144"/>
      <c r="E32" s="193"/>
      <c r="F32" s="193"/>
      <c r="G32" s="193"/>
      <c r="H32" s="193"/>
      <c r="I32" s="178"/>
      <c r="J32" s="177"/>
      <c r="K32" s="177"/>
      <c r="P32" s="4"/>
      <c r="Q32" s="4"/>
      <c r="R32" s="4"/>
      <c r="S32" s="4"/>
      <c r="T32" s="4"/>
    </row>
    <row r="33" spans="2:20" s="10" customFormat="1" ht="24.75" hidden="1" customHeight="1" x14ac:dyDescent="0.25">
      <c r="B33" s="195" t="s">
        <v>357</v>
      </c>
      <c r="C33" s="190"/>
      <c r="D33" s="190"/>
      <c r="E33" s="190"/>
      <c r="F33" s="190"/>
      <c r="G33" s="190"/>
      <c r="H33" s="190"/>
      <c r="I33" s="32">
        <f>SUM(I34:I34)</f>
        <v>0</v>
      </c>
      <c r="J33" s="194"/>
      <c r="K33" s="194"/>
      <c r="P33" s="4"/>
      <c r="Q33" s="4"/>
      <c r="R33" s="4"/>
      <c r="S33" s="4"/>
      <c r="T33" s="4"/>
    </row>
    <row r="34" spans="2:20" ht="24.75" hidden="1" customHeight="1" x14ac:dyDescent="0.2">
      <c r="B34" s="180"/>
      <c r="C34" s="192"/>
      <c r="D34" s="144"/>
      <c r="E34" s="193"/>
      <c r="F34" s="193"/>
      <c r="G34" s="193"/>
      <c r="H34" s="193"/>
      <c r="I34" s="178">
        <v>0</v>
      </c>
      <c r="J34" s="177"/>
      <c r="K34" s="194"/>
      <c r="L34" s="636"/>
    </row>
    <row r="35" spans="2:20" ht="31.5" customHeight="1" x14ac:dyDescent="0.2">
      <c r="J35" s="489"/>
      <c r="K35" s="489"/>
    </row>
    <row r="36" spans="2:20" ht="31.5" customHeight="1" x14ac:dyDescent="0.2">
      <c r="J36" s="489"/>
      <c r="K36" s="489"/>
    </row>
    <row r="37" spans="2:20" ht="31.5" customHeight="1" x14ac:dyDescent="0.2">
      <c r="J37" s="489"/>
      <c r="K37" s="489"/>
    </row>
    <row r="38" spans="2:20" ht="31.5" customHeight="1" x14ac:dyDescent="0.2">
      <c r="J38" s="489"/>
      <c r="K38" s="489"/>
    </row>
  </sheetData>
  <sortState ref="B25:H32">
    <sortCondition ref="D25:D32"/>
  </sortState>
  <mergeCells count="14">
    <mergeCell ref="M1:P1"/>
    <mergeCell ref="B2:J2"/>
    <mergeCell ref="L2:P2"/>
    <mergeCell ref="B3:J3"/>
    <mergeCell ref="L3:L5"/>
    <mergeCell ref="B5:J5"/>
    <mergeCell ref="B4:J4"/>
    <mergeCell ref="L6:P6"/>
    <mergeCell ref="I6:I7"/>
    <mergeCell ref="B6:B7"/>
    <mergeCell ref="C6:C7"/>
    <mergeCell ref="D6:D7"/>
    <mergeCell ref="G6:G7"/>
    <mergeCell ref="J6:J7"/>
  </mergeCells>
  <printOptions horizontalCentered="1" gridLinesSet="0"/>
  <pageMargins left="0.59055118110236227" right="0.59055118110236227" top="0.27559055118110237" bottom="0.39370078740157483" header="0.59055118110236227" footer="0.51181102362204722"/>
  <pageSetup scale="73" fitToHeight="0" orientation="portrait" blackAndWhite="1" useFirstPageNumber="1" r:id="rId1"/>
  <headerFooter alignWithMargins="0">
    <oddFooter>&amp;C&amp;"Arial,Normal"&amp;8Página &amp;P de &amp;N</oddFooter>
  </headerFooter>
  <rowBreaks count="1" manualBreakCount="1">
    <brk id="26" min="1" max="6" man="1"/>
  </rowBreaks>
  <ignoredErrors>
    <ignoredError sqref="J8:J9 J20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tabColor rgb="FF7030A0"/>
  </sheetPr>
  <dimension ref="A1:V148"/>
  <sheetViews>
    <sheetView showGridLines="0" tabSelected="1" zoomScaleNormal="100" zoomScaleSheetLayoutView="85" zoomScalePageLayoutView="35" workbookViewId="0">
      <selection activeCell="G126" sqref="G126"/>
    </sheetView>
  </sheetViews>
  <sheetFormatPr baseColWidth="10" defaultColWidth="12.7109375" defaultRowHeight="16.5" customHeight="1" x14ac:dyDescent="0.25"/>
  <cols>
    <col min="1" max="1" width="6" style="1" customWidth="1"/>
    <col min="2" max="2" width="36.42578125" style="2" customWidth="1"/>
    <col min="3" max="3" width="20.7109375" style="2" customWidth="1"/>
    <col min="4" max="4" width="23.42578125" style="2" customWidth="1"/>
    <col min="5" max="5" width="15" style="2" hidden="1" customWidth="1"/>
    <col min="6" max="6" width="18.5703125" style="2" hidden="1" customWidth="1"/>
    <col min="7" max="7" width="17.85546875" style="2" customWidth="1"/>
    <col min="8" max="8" width="26.42578125" style="2" hidden="1" customWidth="1"/>
    <col min="9" max="9" width="23.140625" style="2" customWidth="1"/>
    <col min="10" max="10" width="19.140625" style="103" customWidth="1"/>
    <col min="11" max="11" width="32.28515625" style="159" hidden="1" customWidth="1"/>
    <col min="12" max="12" width="34.140625" style="2" hidden="1" customWidth="1"/>
    <col min="13" max="13" width="7.42578125" style="2" hidden="1" customWidth="1"/>
    <col min="14" max="14" width="23.28515625" style="2" hidden="1" customWidth="1"/>
    <col min="15" max="15" width="18.140625" style="3" bestFit="1" customWidth="1"/>
    <col min="16" max="16" width="17.28515625" style="3" bestFit="1" customWidth="1"/>
    <col min="17" max="19" width="12.7109375" style="3"/>
    <col min="20" max="16384" width="12.7109375" style="1"/>
  </cols>
  <sheetData>
    <row r="1" spans="1:19" s="12" customFormat="1" ht="14.25" customHeight="1" x14ac:dyDescent="0.25">
      <c r="B1" s="350"/>
      <c r="C1" s="350"/>
      <c r="D1" s="350"/>
      <c r="E1" s="350"/>
      <c r="F1" s="350"/>
      <c r="G1" s="350"/>
      <c r="H1" s="350"/>
      <c r="I1" s="350"/>
      <c r="J1" s="663"/>
      <c r="K1" s="169"/>
      <c r="L1" s="316"/>
      <c r="M1" s="316"/>
      <c r="N1" s="18"/>
      <c r="O1" s="337"/>
      <c r="P1" s="11"/>
      <c r="Q1" s="11"/>
      <c r="R1" s="11"/>
      <c r="S1" s="11"/>
    </row>
    <row r="2" spans="1:19" s="8" customFormat="1" ht="21.95" customHeight="1" x14ac:dyDescent="0.25">
      <c r="B2" s="827" t="s">
        <v>0</v>
      </c>
      <c r="C2" s="827"/>
      <c r="D2" s="827"/>
      <c r="E2" s="827"/>
      <c r="F2" s="827"/>
      <c r="G2" s="827"/>
      <c r="H2" s="827"/>
      <c r="I2" s="827"/>
      <c r="J2" s="827"/>
      <c r="K2" s="476"/>
      <c r="L2" s="489"/>
      <c r="M2" s="489"/>
      <c r="N2" s="664"/>
      <c r="O2" s="21"/>
      <c r="P2" s="6"/>
      <c r="Q2" s="6"/>
      <c r="R2" s="6"/>
      <c r="S2" s="6"/>
    </row>
    <row r="3" spans="1:19" s="480" customFormat="1" ht="21.95" customHeight="1" x14ac:dyDescent="0.25">
      <c r="B3" s="828" t="s">
        <v>73</v>
      </c>
      <c r="C3" s="828"/>
      <c r="D3" s="828"/>
      <c r="E3" s="828"/>
      <c r="F3" s="828"/>
      <c r="G3" s="828"/>
      <c r="H3" s="828"/>
      <c r="I3" s="828"/>
      <c r="J3" s="828"/>
      <c r="K3" s="476"/>
      <c r="L3" s="489"/>
      <c r="M3" s="489"/>
      <c r="N3" s="817"/>
      <c r="O3" s="817"/>
      <c r="P3" s="20"/>
      <c r="Q3" s="20"/>
      <c r="R3" s="20"/>
      <c r="S3" s="20"/>
    </row>
    <row r="4" spans="1:19" s="481" customFormat="1" ht="21.95" customHeight="1" x14ac:dyDescent="0.25">
      <c r="A4" s="21"/>
      <c r="B4" s="828" t="s">
        <v>390</v>
      </c>
      <c r="C4" s="828"/>
      <c r="D4" s="828"/>
      <c r="E4" s="828"/>
      <c r="F4" s="828"/>
      <c r="G4" s="828"/>
      <c r="H4" s="828"/>
      <c r="I4" s="828"/>
      <c r="J4" s="828"/>
      <c r="K4" s="477"/>
      <c r="L4" s="486"/>
      <c r="M4" s="486"/>
      <c r="N4" s="818"/>
      <c r="O4" s="23"/>
      <c r="P4" s="20"/>
      <c r="Q4" s="20"/>
      <c r="R4" s="20"/>
      <c r="S4" s="21"/>
    </row>
    <row r="5" spans="1:19" s="481" customFormat="1" ht="21.95" customHeight="1" x14ac:dyDescent="0.25">
      <c r="A5" s="21"/>
      <c r="B5" s="829" t="str">
        <f>'VENC. '!$B$4</f>
        <v>AL 31 DE JULIO  DE 2024</v>
      </c>
      <c r="C5" s="829"/>
      <c r="D5" s="829"/>
      <c r="E5" s="829"/>
      <c r="F5" s="829"/>
      <c r="G5" s="829"/>
      <c r="H5" s="829"/>
      <c r="I5" s="829"/>
      <c r="J5" s="829"/>
      <c r="K5" s="477"/>
      <c r="L5" s="486"/>
      <c r="M5" s="486"/>
      <c r="N5" s="818"/>
      <c r="O5" s="23"/>
      <c r="P5" s="20"/>
      <c r="Q5" s="20"/>
      <c r="R5" s="20"/>
      <c r="S5" s="21"/>
    </row>
    <row r="6" spans="1:19" s="13" customFormat="1" ht="37.5" customHeight="1" x14ac:dyDescent="0.25">
      <c r="B6" s="813" t="s">
        <v>1</v>
      </c>
      <c r="C6" s="813" t="s">
        <v>594</v>
      </c>
      <c r="D6" s="813" t="s">
        <v>595</v>
      </c>
      <c r="E6" s="566" t="s">
        <v>2</v>
      </c>
      <c r="F6" s="568" t="s">
        <v>588</v>
      </c>
      <c r="G6" s="812" t="s">
        <v>596</v>
      </c>
      <c r="H6" s="566"/>
      <c r="I6" s="811" t="s">
        <v>598</v>
      </c>
      <c r="J6" s="813" t="s">
        <v>3</v>
      </c>
      <c r="K6" s="823" t="s">
        <v>139</v>
      </c>
      <c r="L6" s="315"/>
      <c r="M6" s="315"/>
      <c r="N6" s="818"/>
      <c r="O6" s="108"/>
      <c r="P6" s="20"/>
      <c r="Q6" s="20"/>
      <c r="R6" s="20"/>
      <c r="S6" s="20"/>
    </row>
    <row r="7" spans="1:19" ht="37.5" customHeight="1" x14ac:dyDescent="0.25">
      <c r="B7" s="814"/>
      <c r="C7" s="814"/>
      <c r="D7" s="814"/>
      <c r="E7" s="567"/>
      <c r="F7" s="569"/>
      <c r="G7" s="812"/>
      <c r="H7" s="567"/>
      <c r="I7" s="811"/>
      <c r="J7" s="814"/>
      <c r="K7" s="824"/>
      <c r="N7" s="815"/>
      <c r="O7" s="815"/>
    </row>
    <row r="8" spans="1:19" ht="24.95" customHeight="1" x14ac:dyDescent="0.25">
      <c r="B8" s="707" t="s">
        <v>56</v>
      </c>
      <c r="C8" s="708"/>
      <c r="D8" s="708"/>
      <c r="E8" s="709"/>
      <c r="F8" s="710"/>
      <c r="G8" s="711"/>
      <c r="H8" s="710"/>
      <c r="I8" s="382">
        <f>I9+I69</f>
        <v>4581587195.5299997</v>
      </c>
      <c r="J8" s="706">
        <f>+N8/I8</f>
        <v>4.8499999999999996</v>
      </c>
      <c r="K8" s="162"/>
      <c r="L8" s="4"/>
      <c r="M8" s="4"/>
      <c r="N8" s="322">
        <f>N9+N69</f>
        <v>22201659207</v>
      </c>
      <c r="O8" s="18"/>
      <c r="P8" s="11"/>
    </row>
    <row r="9" spans="1:19" s="10" customFormat="1" ht="41.25" customHeight="1" x14ac:dyDescent="0.25">
      <c r="B9" s="705" t="s">
        <v>17</v>
      </c>
      <c r="C9" s="144"/>
      <c r="D9" s="144"/>
      <c r="E9" s="187"/>
      <c r="F9" s="187"/>
      <c r="G9" s="144"/>
      <c r="H9" s="187"/>
      <c r="I9" s="382">
        <f>SUM(I10)+I26+I57+I60+I64+I66</f>
        <v>1675258314.8</v>
      </c>
      <c r="J9" s="706">
        <f>+N9/I9</f>
        <v>5.01</v>
      </c>
      <c r="K9" s="158"/>
      <c r="N9" s="32">
        <f>SUM(N10)+N26+N57+N60+N64+N66</f>
        <v>8387832865</v>
      </c>
      <c r="O9" s="4"/>
      <c r="P9" s="4"/>
      <c r="Q9" s="4"/>
      <c r="R9" s="4"/>
      <c r="S9" s="4"/>
    </row>
    <row r="10" spans="1:19" s="10" customFormat="1" ht="24.95" customHeight="1" x14ac:dyDescent="0.25">
      <c r="B10" s="666" t="s">
        <v>54</v>
      </c>
      <c r="C10" s="516"/>
      <c r="D10" s="516"/>
      <c r="E10" s="497"/>
      <c r="F10" s="667">
        <f>+H10/I10</f>
        <v>2525</v>
      </c>
      <c r="G10" s="562">
        <f>+F10/365</f>
        <v>6.92</v>
      </c>
      <c r="H10" s="426">
        <f>SUM(H11:H24)</f>
        <v>1424483682461.3501</v>
      </c>
      <c r="I10" s="533">
        <f>SUM(I11:I24)</f>
        <v>564231757.36000001</v>
      </c>
      <c r="J10" s="563">
        <f>+N10/I10</f>
        <v>4.62</v>
      </c>
      <c r="K10" s="158"/>
      <c r="N10" s="426">
        <f>SUM(N11:N24)</f>
        <v>2606290551</v>
      </c>
      <c r="O10" s="4"/>
      <c r="P10" s="4"/>
      <c r="Q10" s="4"/>
      <c r="R10" s="4"/>
      <c r="S10" s="4"/>
    </row>
    <row r="11" spans="1:19" s="10" customFormat="1" ht="24.95" customHeight="1" x14ac:dyDescent="0.25">
      <c r="B11" s="314">
        <v>150000173561</v>
      </c>
      <c r="C11" s="516">
        <v>45504</v>
      </c>
      <c r="D11" s="517">
        <v>45505</v>
      </c>
      <c r="E11" s="527" t="s">
        <v>587</v>
      </c>
      <c r="F11" s="547">
        <v>1</v>
      </c>
      <c r="G11" s="454"/>
      <c r="H11" s="56">
        <f>+F11*I11</f>
        <v>52683338.020000003</v>
      </c>
      <c r="I11" s="423">
        <v>52683338.020000003</v>
      </c>
      <c r="J11" s="584">
        <v>3.25</v>
      </c>
      <c r="K11" s="158"/>
      <c r="N11" s="10">
        <f>+I11*J11</f>
        <v>171220849</v>
      </c>
      <c r="O11" s="4"/>
      <c r="P11" s="4"/>
      <c r="Q11" s="4"/>
      <c r="R11" s="4"/>
      <c r="S11" s="4"/>
    </row>
    <row r="12" spans="1:19" s="10" customFormat="1" ht="24.95" customHeight="1" x14ac:dyDescent="0.25">
      <c r="B12" s="314">
        <v>150000173570</v>
      </c>
      <c r="C12" s="516">
        <v>45504</v>
      </c>
      <c r="D12" s="517">
        <v>45505</v>
      </c>
      <c r="E12" s="527" t="s">
        <v>587</v>
      </c>
      <c r="F12" s="547">
        <v>1</v>
      </c>
      <c r="G12" s="454"/>
      <c r="H12" s="56">
        <f t="shared" ref="H12:H24" si="0">+F12*I12</f>
        <v>22316661.98</v>
      </c>
      <c r="I12" s="423">
        <v>22316661.98</v>
      </c>
      <c r="J12" s="584">
        <v>3.25</v>
      </c>
      <c r="K12" s="158"/>
      <c r="N12" s="10">
        <f t="shared" ref="N12:N24" si="1">+I12*J12</f>
        <v>72529151</v>
      </c>
      <c r="O12" s="4"/>
      <c r="P12" s="4"/>
      <c r="Q12" s="4"/>
      <c r="R12" s="4"/>
      <c r="S12" s="4"/>
    </row>
    <row r="13" spans="1:19" s="10" customFormat="1" ht="24.95" customHeight="1" x14ac:dyDescent="0.25">
      <c r="B13" s="440">
        <v>110000053315</v>
      </c>
      <c r="C13" s="517">
        <v>42916</v>
      </c>
      <c r="D13" s="517">
        <v>45838</v>
      </c>
      <c r="E13" s="527" t="s">
        <v>47</v>
      </c>
      <c r="F13" s="547">
        <f>8*365</f>
        <v>2920</v>
      </c>
      <c r="G13" s="454"/>
      <c r="H13" s="56">
        <f t="shared" si="0"/>
        <v>381397557489.59998</v>
      </c>
      <c r="I13" s="423">
        <v>130615601.88</v>
      </c>
      <c r="J13" s="670">
        <v>3.25</v>
      </c>
      <c r="K13" s="341"/>
      <c r="L13" s="342"/>
      <c r="M13" s="342"/>
      <c r="N13" s="10">
        <f t="shared" si="1"/>
        <v>424500706</v>
      </c>
      <c r="O13" s="4"/>
      <c r="P13" s="4"/>
      <c r="Q13" s="4"/>
      <c r="R13" s="4"/>
      <c r="S13" s="4"/>
    </row>
    <row r="14" spans="1:19" s="10" customFormat="1" ht="24.95" customHeight="1" x14ac:dyDescent="0.25">
      <c r="B14" s="314">
        <v>110000083806</v>
      </c>
      <c r="C14" s="517">
        <v>44895</v>
      </c>
      <c r="D14" s="517">
        <v>45992</v>
      </c>
      <c r="E14" s="527" t="s">
        <v>9</v>
      </c>
      <c r="F14" s="547">
        <f>3*365</f>
        <v>1095</v>
      </c>
      <c r="G14" s="454"/>
      <c r="H14" s="56">
        <f t="shared" si="0"/>
        <v>222366763.65000001</v>
      </c>
      <c r="I14" s="423">
        <v>203074.67</v>
      </c>
      <c r="J14" s="584">
        <v>4.2</v>
      </c>
      <c r="K14" s="341" t="s">
        <v>146</v>
      </c>
      <c r="L14" s="342"/>
      <c r="M14" s="342"/>
      <c r="N14" s="10">
        <f t="shared" si="1"/>
        <v>852914</v>
      </c>
      <c r="O14" s="4"/>
      <c r="P14" s="4"/>
      <c r="Q14" s="4"/>
      <c r="R14" s="4"/>
      <c r="S14" s="4"/>
    </row>
    <row r="15" spans="1:19" s="10" customFormat="1" ht="24.95" customHeight="1" x14ac:dyDescent="0.25">
      <c r="B15" s="314">
        <v>110000083815</v>
      </c>
      <c r="C15" s="517">
        <v>44895</v>
      </c>
      <c r="D15" s="517">
        <v>45992</v>
      </c>
      <c r="E15" s="527" t="s">
        <v>9</v>
      </c>
      <c r="F15" s="547">
        <f>3*365</f>
        <v>1095</v>
      </c>
      <c r="G15" s="454"/>
      <c r="H15" s="56">
        <f t="shared" si="0"/>
        <v>102301163.40000001</v>
      </c>
      <c r="I15" s="423">
        <v>93425.72</v>
      </c>
      <c r="J15" s="584">
        <v>4.2</v>
      </c>
      <c r="K15" s="341" t="s">
        <v>146</v>
      </c>
      <c r="L15" s="342"/>
      <c r="M15" s="342"/>
      <c r="N15" s="10">
        <f t="shared" si="1"/>
        <v>392388</v>
      </c>
      <c r="O15" s="4"/>
      <c r="P15" s="4"/>
      <c r="Q15" s="4"/>
      <c r="R15" s="4"/>
      <c r="S15" s="4"/>
    </row>
    <row r="16" spans="1:19" s="10" customFormat="1" ht="24.95" customHeight="1" x14ac:dyDescent="0.25">
      <c r="B16" s="314">
        <v>110000083833</v>
      </c>
      <c r="C16" s="517">
        <v>44895</v>
      </c>
      <c r="D16" s="517">
        <v>45992</v>
      </c>
      <c r="E16" s="527" t="s">
        <v>9</v>
      </c>
      <c r="F16" s="547">
        <f>3*365</f>
        <v>1095</v>
      </c>
      <c r="G16" s="454"/>
      <c r="H16" s="56">
        <f t="shared" si="0"/>
        <v>1782916908.9000001</v>
      </c>
      <c r="I16" s="423">
        <v>1628234.62</v>
      </c>
      <c r="J16" s="584">
        <v>4.2</v>
      </c>
      <c r="K16" s="341" t="s">
        <v>146</v>
      </c>
      <c r="L16" s="342"/>
      <c r="M16" s="342"/>
      <c r="N16" s="10">
        <f t="shared" si="1"/>
        <v>6838585</v>
      </c>
      <c r="O16" s="4"/>
      <c r="P16" s="4"/>
      <c r="Q16" s="4"/>
      <c r="R16" s="4"/>
      <c r="S16" s="4"/>
    </row>
    <row r="17" spans="1:19" s="10" customFormat="1" ht="24.95" customHeight="1" x14ac:dyDescent="0.25">
      <c r="B17" s="314">
        <v>110000083780</v>
      </c>
      <c r="C17" s="517">
        <v>44895</v>
      </c>
      <c r="D17" s="517">
        <v>45992</v>
      </c>
      <c r="E17" s="527" t="s">
        <v>9</v>
      </c>
      <c r="F17" s="547">
        <f>3*365</f>
        <v>1095</v>
      </c>
      <c r="G17" s="454"/>
      <c r="H17" s="56">
        <f t="shared" si="0"/>
        <v>9910700273.8500004</v>
      </c>
      <c r="I17" s="423">
        <v>9050867.8300000001</v>
      </c>
      <c r="J17" s="584">
        <v>4.2</v>
      </c>
      <c r="K17" s="341" t="s">
        <v>146</v>
      </c>
      <c r="L17" s="342"/>
      <c r="M17" s="342"/>
      <c r="N17" s="10">
        <f t="shared" si="1"/>
        <v>38013645</v>
      </c>
      <c r="O17" s="4"/>
      <c r="P17" s="4"/>
      <c r="Q17" s="4"/>
      <c r="R17" s="4"/>
      <c r="S17" s="4"/>
    </row>
    <row r="18" spans="1:19" s="10" customFormat="1" ht="24.95" customHeight="1" x14ac:dyDescent="0.25">
      <c r="B18" s="314">
        <v>110000083870</v>
      </c>
      <c r="C18" s="517">
        <v>44895</v>
      </c>
      <c r="D18" s="517">
        <v>45992</v>
      </c>
      <c r="E18" s="527" t="s">
        <v>9</v>
      </c>
      <c r="F18" s="547">
        <f>3*365</f>
        <v>1095</v>
      </c>
      <c r="G18" s="454"/>
      <c r="H18" s="56">
        <f t="shared" si="0"/>
        <v>8548025114.8500004</v>
      </c>
      <c r="I18" s="423">
        <v>7806415.6299999999</v>
      </c>
      <c r="J18" s="584">
        <v>4.2</v>
      </c>
      <c r="K18" s="341" t="s">
        <v>146</v>
      </c>
      <c r="L18" s="342"/>
      <c r="M18" s="342"/>
      <c r="N18" s="10">
        <f t="shared" si="1"/>
        <v>32786946</v>
      </c>
      <c r="O18" s="4"/>
      <c r="P18" s="4"/>
      <c r="Q18" s="4"/>
      <c r="R18" s="4"/>
      <c r="S18" s="4"/>
    </row>
    <row r="19" spans="1:19" s="8" customFormat="1" ht="24.95" customHeight="1" x14ac:dyDescent="0.25">
      <c r="A19" s="10"/>
      <c r="B19" s="440">
        <v>110000058581</v>
      </c>
      <c r="C19" s="517" t="s">
        <v>75</v>
      </c>
      <c r="D19" s="517" t="s">
        <v>76</v>
      </c>
      <c r="E19" s="527" t="s">
        <v>47</v>
      </c>
      <c r="F19" s="547">
        <f>8*365</f>
        <v>2920</v>
      </c>
      <c r="G19" s="454"/>
      <c r="H19" s="56">
        <f t="shared" si="0"/>
        <v>106581934733.60001</v>
      </c>
      <c r="I19" s="423">
        <v>36500662.579999998</v>
      </c>
      <c r="J19" s="670">
        <v>3.3</v>
      </c>
      <c r="K19" s="296" t="s">
        <v>140</v>
      </c>
      <c r="L19" s="10" t="s">
        <v>74</v>
      </c>
      <c r="M19" s="10"/>
      <c r="N19" s="10">
        <f t="shared" si="1"/>
        <v>120452187</v>
      </c>
      <c r="O19" s="6"/>
      <c r="P19" s="6"/>
      <c r="Q19" s="6"/>
      <c r="R19" s="6"/>
      <c r="S19" s="6"/>
    </row>
    <row r="20" spans="1:19" s="8" customFormat="1" ht="24.95" customHeight="1" x14ac:dyDescent="0.25">
      <c r="A20" s="10"/>
      <c r="B20" s="440">
        <v>110000092529</v>
      </c>
      <c r="C20" s="517">
        <v>45453</v>
      </c>
      <c r="D20" s="517">
        <v>46183</v>
      </c>
      <c r="E20" s="527" t="s">
        <v>461</v>
      </c>
      <c r="F20" s="547">
        <v>730</v>
      </c>
      <c r="G20" s="454"/>
      <c r="H20" s="56">
        <f t="shared" si="0"/>
        <v>47034090208.800003</v>
      </c>
      <c r="I20" s="423">
        <v>64430260.560000002</v>
      </c>
      <c r="J20" s="670">
        <v>5.5</v>
      </c>
      <c r="K20" s="296"/>
      <c r="L20" s="10"/>
      <c r="M20" s="10"/>
      <c r="N20" s="10">
        <f t="shared" si="1"/>
        <v>354366433</v>
      </c>
      <c r="O20" s="6"/>
      <c r="P20" s="6"/>
      <c r="Q20" s="6"/>
      <c r="R20" s="6"/>
      <c r="S20" s="6"/>
    </row>
    <row r="21" spans="1:19" s="10" customFormat="1" ht="24.95" customHeight="1" x14ac:dyDescent="0.25">
      <c r="B21" s="314">
        <v>110000084124</v>
      </c>
      <c r="C21" s="516">
        <v>44917</v>
      </c>
      <c r="D21" s="516">
        <v>47840</v>
      </c>
      <c r="E21" s="527" t="s">
        <v>47</v>
      </c>
      <c r="F21" s="547">
        <f>8*365</f>
        <v>2920</v>
      </c>
      <c r="G21" s="454"/>
      <c r="H21" s="56">
        <f t="shared" si="0"/>
        <v>12671763283.200001</v>
      </c>
      <c r="I21" s="423">
        <v>4339644.96</v>
      </c>
      <c r="J21" s="584">
        <v>5.5</v>
      </c>
      <c r="K21" s="341" t="s">
        <v>146</v>
      </c>
      <c r="L21" s="10" t="s">
        <v>195</v>
      </c>
      <c r="N21" s="10">
        <f t="shared" si="1"/>
        <v>23868047</v>
      </c>
      <c r="O21" s="4"/>
      <c r="P21" s="4"/>
      <c r="Q21" s="4"/>
      <c r="R21" s="4"/>
      <c r="S21" s="4"/>
    </row>
    <row r="22" spans="1:19" s="10" customFormat="1" ht="24.95" customHeight="1" x14ac:dyDescent="0.25">
      <c r="B22" s="314">
        <v>110000086227</v>
      </c>
      <c r="C22" s="516">
        <v>45091</v>
      </c>
      <c r="D22" s="516">
        <v>48744</v>
      </c>
      <c r="E22" s="527" t="s">
        <v>331</v>
      </c>
      <c r="F22" s="547">
        <f>10*365</f>
        <v>3650</v>
      </c>
      <c r="G22" s="454"/>
      <c r="H22" s="56">
        <f t="shared" si="0"/>
        <v>305946013184.5</v>
      </c>
      <c r="I22" s="423">
        <v>83820825.530000001</v>
      </c>
      <c r="J22" s="584">
        <v>5.8</v>
      </c>
      <c r="K22" s="343"/>
      <c r="N22" s="10">
        <f t="shared" si="1"/>
        <v>486160788</v>
      </c>
      <c r="O22" s="4"/>
      <c r="P22" s="4"/>
      <c r="Q22" s="4"/>
      <c r="R22" s="4"/>
      <c r="S22" s="4"/>
    </row>
    <row r="23" spans="1:19" s="17" customFormat="1" ht="24.95" customHeight="1" x14ac:dyDescent="0.25">
      <c r="A23" s="10"/>
      <c r="B23" s="314">
        <v>110000085515</v>
      </c>
      <c r="C23" s="516">
        <v>45030</v>
      </c>
      <c r="D23" s="516">
        <v>48683</v>
      </c>
      <c r="E23" s="527" t="s">
        <v>143</v>
      </c>
      <c r="F23" s="547">
        <f>10*365</f>
        <v>3650</v>
      </c>
      <c r="G23" s="454"/>
      <c r="H23" s="56">
        <f t="shared" si="0"/>
        <v>467722787602</v>
      </c>
      <c r="I23" s="423">
        <f>85416855.9+27500000+15226373.58</f>
        <v>128143229.48</v>
      </c>
      <c r="J23" s="670">
        <v>5.8</v>
      </c>
      <c r="K23" s="10"/>
      <c r="L23" s="10"/>
      <c r="M23" s="10"/>
      <c r="N23" s="10">
        <f t="shared" si="1"/>
        <v>743230731</v>
      </c>
      <c r="O23" s="27"/>
      <c r="P23" s="27"/>
      <c r="Q23" s="27"/>
      <c r="R23" s="27"/>
      <c r="S23" s="27"/>
    </row>
    <row r="24" spans="1:19" s="17" customFormat="1" ht="24.95" customHeight="1" x14ac:dyDescent="0.25">
      <c r="A24" s="10"/>
      <c r="B24" s="314">
        <v>110000085524</v>
      </c>
      <c r="C24" s="516">
        <v>45030</v>
      </c>
      <c r="D24" s="516">
        <v>48683</v>
      </c>
      <c r="E24" s="527" t="s">
        <v>143</v>
      </c>
      <c r="F24" s="547">
        <f>10*365</f>
        <v>3650</v>
      </c>
      <c r="G24" s="454"/>
      <c r="H24" s="56">
        <f t="shared" si="0"/>
        <v>82488225735</v>
      </c>
      <c r="I24" s="423">
        <f>3629513.9+18970000</f>
        <v>22599513.899999999</v>
      </c>
      <c r="J24" s="670">
        <v>5.8</v>
      </c>
      <c r="K24" s="10"/>
      <c r="L24" s="10"/>
      <c r="M24" s="10"/>
      <c r="N24" s="10">
        <f t="shared" si="1"/>
        <v>131077181</v>
      </c>
      <c r="O24" s="27"/>
      <c r="P24" s="27"/>
      <c r="Q24" s="27"/>
      <c r="R24" s="27"/>
      <c r="S24" s="27"/>
    </row>
    <row r="25" spans="1:19" s="17" customFormat="1" ht="14.25" customHeight="1" x14ac:dyDescent="0.25">
      <c r="A25" s="10"/>
      <c r="B25" s="314"/>
      <c r="C25" s="516"/>
      <c r="D25" s="516"/>
      <c r="E25" s="497"/>
      <c r="F25" s="497"/>
      <c r="G25" s="516"/>
      <c r="H25" s="497"/>
      <c r="I25" s="423"/>
      <c r="J25" s="354"/>
      <c r="K25" s="10"/>
      <c r="L25" s="10"/>
      <c r="M25" s="10"/>
      <c r="N25" s="10"/>
      <c r="O25" s="27"/>
      <c r="P25" s="27"/>
      <c r="Q25" s="27"/>
      <c r="R25" s="27"/>
      <c r="S25" s="27"/>
    </row>
    <row r="26" spans="1:19" s="10" customFormat="1" ht="24.95" customHeight="1" x14ac:dyDescent="0.25">
      <c r="B26" s="564" t="s">
        <v>37</v>
      </c>
      <c r="C26" s="319"/>
      <c r="D26" s="319"/>
      <c r="E26" s="446"/>
      <c r="F26" s="669">
        <f>+H26/I26</f>
        <v>2208</v>
      </c>
      <c r="G26" s="565">
        <f>+F26/365</f>
        <v>6.05</v>
      </c>
      <c r="H26" s="537">
        <f>SUM(H27:H54)</f>
        <v>2105399502796.25</v>
      </c>
      <c r="I26" s="560">
        <f>SUM(I27:I54)</f>
        <v>953526345.09000003</v>
      </c>
      <c r="J26" s="610">
        <f>+N26/I26</f>
        <v>5.28</v>
      </c>
      <c r="K26" s="158"/>
      <c r="N26" s="32">
        <f>SUM(N27:N54)</f>
        <v>5031316040</v>
      </c>
      <c r="O26" s="4"/>
      <c r="P26" s="4"/>
      <c r="Q26" s="4"/>
      <c r="R26" s="4"/>
      <c r="S26" s="4"/>
    </row>
    <row r="27" spans="1:19" s="17" customFormat="1" ht="24.95" customHeight="1" x14ac:dyDescent="0.25">
      <c r="B27" s="440" t="s">
        <v>92</v>
      </c>
      <c r="C27" s="517">
        <v>43340</v>
      </c>
      <c r="D27" s="516">
        <v>45530</v>
      </c>
      <c r="E27" s="527" t="s">
        <v>16</v>
      </c>
      <c r="F27" s="547">
        <f>6*365</f>
        <v>2190</v>
      </c>
      <c r="G27" s="454"/>
      <c r="H27" s="56">
        <f t="shared" ref="H27:H54" si="2">+F27*I27</f>
        <v>18077682010.799999</v>
      </c>
      <c r="I27" s="423">
        <v>8254649.3200000003</v>
      </c>
      <c r="J27" s="605">
        <v>4.88</v>
      </c>
      <c r="K27" s="296" t="s">
        <v>140</v>
      </c>
      <c r="L27" s="10" t="s">
        <v>87</v>
      </c>
      <c r="M27" s="10"/>
      <c r="N27" s="10">
        <f t="shared" ref="N27:N54" si="3">+I27*J27</f>
        <v>40282689</v>
      </c>
      <c r="O27" s="27"/>
      <c r="P27" s="27"/>
      <c r="Q27" s="27"/>
      <c r="R27" s="27"/>
    </row>
    <row r="28" spans="1:19" s="8" customFormat="1" ht="24.95" customHeight="1" x14ac:dyDescent="0.25">
      <c r="A28" s="10"/>
      <c r="B28" s="440" t="s">
        <v>65</v>
      </c>
      <c r="C28" s="517">
        <v>43017</v>
      </c>
      <c r="D28" s="516">
        <v>45574</v>
      </c>
      <c r="E28" s="527" t="s">
        <v>5</v>
      </c>
      <c r="F28" s="547">
        <f>7*365</f>
        <v>2555</v>
      </c>
      <c r="G28" s="454"/>
      <c r="H28" s="56">
        <f t="shared" si="2"/>
        <v>30243778798.099998</v>
      </c>
      <c r="I28" s="423">
        <v>11837095.42</v>
      </c>
      <c r="J28" s="605">
        <v>4.5</v>
      </c>
      <c r="K28" s="296" t="s">
        <v>140</v>
      </c>
      <c r="L28" s="10"/>
      <c r="M28" s="10"/>
      <c r="N28" s="10">
        <f t="shared" si="3"/>
        <v>53266929</v>
      </c>
      <c r="O28" s="6"/>
      <c r="P28" s="6"/>
      <c r="Q28" s="6"/>
      <c r="R28" s="6"/>
      <c r="S28" s="6"/>
    </row>
    <row r="29" spans="1:19" s="8" customFormat="1" ht="24.95" customHeight="1" x14ac:dyDescent="0.25">
      <c r="A29" s="10"/>
      <c r="B29" s="440" t="s">
        <v>111</v>
      </c>
      <c r="C29" s="517">
        <v>43511</v>
      </c>
      <c r="D29" s="516">
        <v>45702</v>
      </c>
      <c r="E29" s="527" t="s">
        <v>16</v>
      </c>
      <c r="F29" s="547">
        <f>6*365</f>
        <v>2190</v>
      </c>
      <c r="G29" s="454"/>
      <c r="H29" s="56">
        <f t="shared" si="2"/>
        <v>89687655715.5</v>
      </c>
      <c r="I29" s="423">
        <v>40953267.450000003</v>
      </c>
      <c r="J29" s="605">
        <v>5</v>
      </c>
      <c r="K29" s="296" t="s">
        <v>140</v>
      </c>
      <c r="L29" s="10"/>
      <c r="M29" s="10"/>
      <c r="N29" s="10">
        <f t="shared" si="3"/>
        <v>204766337</v>
      </c>
      <c r="O29" s="6"/>
      <c r="P29" s="6"/>
      <c r="Q29" s="6"/>
      <c r="R29" s="6"/>
      <c r="S29" s="6"/>
    </row>
    <row r="30" spans="1:19" s="17" customFormat="1" ht="24.95" customHeight="1" x14ac:dyDescent="0.25">
      <c r="B30" s="665" t="s">
        <v>99</v>
      </c>
      <c r="C30" s="517">
        <v>43434</v>
      </c>
      <c r="D30" s="517">
        <v>45988</v>
      </c>
      <c r="E30" s="527" t="s">
        <v>5</v>
      </c>
      <c r="F30" s="547">
        <f>7*365</f>
        <v>2555</v>
      </c>
      <c r="G30" s="454"/>
      <c r="H30" s="56">
        <f t="shared" si="2"/>
        <v>32346300000</v>
      </c>
      <c r="I30" s="423">
        <v>12660000</v>
      </c>
      <c r="J30" s="605">
        <v>5.13</v>
      </c>
      <c r="K30" s="296" t="s">
        <v>140</v>
      </c>
      <c r="L30" s="10" t="s">
        <v>98</v>
      </c>
      <c r="M30" s="10"/>
      <c r="N30" s="10">
        <f t="shared" si="3"/>
        <v>64945800</v>
      </c>
      <c r="O30" s="27"/>
      <c r="P30" s="27"/>
      <c r="Q30" s="27"/>
      <c r="R30" s="27"/>
      <c r="S30" s="27"/>
    </row>
    <row r="31" spans="1:19" s="17" customFormat="1" ht="24.95" customHeight="1" x14ac:dyDescent="0.25">
      <c r="B31" s="440" t="s">
        <v>103</v>
      </c>
      <c r="C31" s="517">
        <v>43452</v>
      </c>
      <c r="D31" s="517">
        <v>46007</v>
      </c>
      <c r="E31" s="527" t="s">
        <v>5</v>
      </c>
      <c r="F31" s="547">
        <f>7*365</f>
        <v>2555</v>
      </c>
      <c r="G31" s="454"/>
      <c r="H31" s="56">
        <f t="shared" si="2"/>
        <v>20606803686</v>
      </c>
      <c r="I31" s="423">
        <v>8065285.2000000002</v>
      </c>
      <c r="J31" s="605">
        <v>5.13</v>
      </c>
      <c r="K31" s="296" t="s">
        <v>140</v>
      </c>
      <c r="L31" s="121" t="s">
        <v>104</v>
      </c>
      <c r="M31" s="121"/>
      <c r="N31" s="10">
        <f t="shared" si="3"/>
        <v>41374913</v>
      </c>
      <c r="O31" s="27"/>
      <c r="P31" s="27"/>
      <c r="Q31" s="27"/>
      <c r="R31" s="27"/>
      <c r="S31" s="27"/>
    </row>
    <row r="32" spans="1:19" s="17" customFormat="1" ht="24.95" customHeight="1" x14ac:dyDescent="0.25">
      <c r="B32" s="440" t="s">
        <v>460</v>
      </c>
      <c r="C32" s="517">
        <v>45397</v>
      </c>
      <c r="D32" s="517">
        <v>46127</v>
      </c>
      <c r="E32" s="527" t="s">
        <v>461</v>
      </c>
      <c r="F32" s="547">
        <v>730</v>
      </c>
      <c r="G32" s="454"/>
      <c r="H32" s="56">
        <f t="shared" si="2"/>
        <v>36500000000</v>
      </c>
      <c r="I32" s="423">
        <v>50000000</v>
      </c>
      <c r="J32" s="605">
        <v>6.13</v>
      </c>
      <c r="K32" s="296"/>
      <c r="L32" s="121"/>
      <c r="M32" s="121"/>
      <c r="N32" s="10">
        <f t="shared" si="3"/>
        <v>306500000</v>
      </c>
      <c r="O32" s="27"/>
      <c r="P32" s="27"/>
      <c r="Q32" s="27"/>
      <c r="R32" s="27"/>
      <c r="S32" s="27"/>
    </row>
    <row r="33" spans="2:19" s="17" customFormat="1" ht="24.95" customHeight="1" x14ac:dyDescent="0.25">
      <c r="B33" s="440" t="s">
        <v>126</v>
      </c>
      <c r="C33" s="517">
        <v>43815</v>
      </c>
      <c r="D33" s="517">
        <v>46370</v>
      </c>
      <c r="E33" s="527" t="s">
        <v>5</v>
      </c>
      <c r="F33" s="547">
        <f>7*365</f>
        <v>2555</v>
      </c>
      <c r="G33" s="454"/>
      <c r="H33" s="56">
        <f t="shared" si="2"/>
        <v>11801098667.049999</v>
      </c>
      <c r="I33" s="423">
        <v>4618825.3099999996</v>
      </c>
      <c r="J33" s="605">
        <v>4.25</v>
      </c>
      <c r="K33" s="296" t="s">
        <v>140</v>
      </c>
      <c r="L33" s="121" t="s">
        <v>120</v>
      </c>
      <c r="M33" s="121"/>
      <c r="N33" s="10">
        <f t="shared" si="3"/>
        <v>19630008</v>
      </c>
      <c r="O33" s="27"/>
      <c r="P33" s="27"/>
      <c r="Q33" s="27"/>
      <c r="R33" s="27"/>
      <c r="S33" s="27"/>
    </row>
    <row r="34" spans="2:19" s="17" customFormat="1" ht="24.95" customHeight="1" x14ac:dyDescent="0.25">
      <c r="B34" s="440" t="s">
        <v>463</v>
      </c>
      <c r="C34" s="517">
        <v>45397</v>
      </c>
      <c r="D34" s="517">
        <v>46492</v>
      </c>
      <c r="E34" s="527" t="s">
        <v>464</v>
      </c>
      <c r="F34" s="547">
        <v>1095</v>
      </c>
      <c r="G34" s="454"/>
      <c r="H34" s="56">
        <f t="shared" si="2"/>
        <v>54750000000</v>
      </c>
      <c r="I34" s="423">
        <v>50000000</v>
      </c>
      <c r="J34" s="605">
        <v>6</v>
      </c>
      <c r="K34" s="296"/>
      <c r="L34" s="121"/>
      <c r="M34" s="121"/>
      <c r="N34" s="10">
        <f t="shared" si="3"/>
        <v>300000000</v>
      </c>
      <c r="O34" s="27"/>
      <c r="P34" s="27"/>
      <c r="Q34" s="27"/>
      <c r="R34" s="27"/>
      <c r="S34" s="27"/>
    </row>
    <row r="35" spans="2:19" s="17" customFormat="1" ht="24.95" customHeight="1" x14ac:dyDescent="0.25">
      <c r="B35" s="440" t="s">
        <v>465</v>
      </c>
      <c r="C35" s="517">
        <v>45397</v>
      </c>
      <c r="D35" s="517">
        <v>46492</v>
      </c>
      <c r="E35" s="527" t="s">
        <v>464</v>
      </c>
      <c r="F35" s="547">
        <v>1095</v>
      </c>
      <c r="G35" s="454"/>
      <c r="H35" s="56">
        <f t="shared" si="2"/>
        <v>109500000000</v>
      </c>
      <c r="I35" s="423">
        <v>100000000</v>
      </c>
      <c r="J35" s="605">
        <v>6</v>
      </c>
      <c r="K35" s="296"/>
      <c r="L35" s="121"/>
      <c r="M35" s="121"/>
      <c r="N35" s="10">
        <f t="shared" si="3"/>
        <v>600000000</v>
      </c>
      <c r="O35" s="27"/>
      <c r="P35" s="27"/>
      <c r="Q35" s="27"/>
      <c r="R35" s="27"/>
      <c r="S35" s="27"/>
    </row>
    <row r="36" spans="2:19" s="17" customFormat="1" ht="24.95" customHeight="1" x14ac:dyDescent="0.25">
      <c r="B36" s="440" t="s">
        <v>134</v>
      </c>
      <c r="C36" s="517">
        <v>44075</v>
      </c>
      <c r="D36" s="517">
        <v>46629</v>
      </c>
      <c r="E36" s="527" t="s">
        <v>5</v>
      </c>
      <c r="F36" s="547">
        <f>7*365</f>
        <v>2555</v>
      </c>
      <c r="G36" s="454"/>
      <c r="H36" s="56">
        <f t="shared" si="2"/>
        <v>316732056.89999998</v>
      </c>
      <c r="I36" s="423">
        <v>123965.58</v>
      </c>
      <c r="J36" s="605">
        <v>3.53</v>
      </c>
      <c r="K36" s="296" t="s">
        <v>140</v>
      </c>
      <c r="L36" s="121"/>
      <c r="M36" s="121"/>
      <c r="N36" s="10">
        <f t="shared" si="3"/>
        <v>437598</v>
      </c>
      <c r="O36" s="27"/>
      <c r="P36" s="27"/>
      <c r="Q36" s="27"/>
      <c r="R36" s="27"/>
      <c r="S36" s="27"/>
    </row>
    <row r="37" spans="2:19" s="17" customFormat="1" ht="24.95" customHeight="1" x14ac:dyDescent="0.25">
      <c r="B37" s="440" t="s">
        <v>127</v>
      </c>
      <c r="C37" s="517">
        <v>43815</v>
      </c>
      <c r="D37" s="517">
        <v>46735</v>
      </c>
      <c r="E37" s="527" t="s">
        <v>47</v>
      </c>
      <c r="F37" s="547">
        <f>8*365</f>
        <v>2920</v>
      </c>
      <c r="G37" s="454"/>
      <c r="H37" s="56">
        <f t="shared" si="2"/>
        <v>73000000000</v>
      </c>
      <c r="I37" s="423">
        <v>25000000</v>
      </c>
      <c r="J37" s="605">
        <v>4.38</v>
      </c>
      <c r="K37" s="296" t="s">
        <v>140</v>
      </c>
      <c r="L37" s="121" t="s">
        <v>120</v>
      </c>
      <c r="M37" s="121"/>
      <c r="N37" s="10">
        <f t="shared" si="3"/>
        <v>109500000</v>
      </c>
      <c r="O37" s="27"/>
      <c r="P37" s="27"/>
      <c r="Q37" s="27"/>
      <c r="R37" s="27"/>
      <c r="S37" s="27"/>
    </row>
    <row r="38" spans="2:19" s="344" customFormat="1" ht="24.95" customHeight="1" x14ac:dyDescent="0.25">
      <c r="B38" s="440" t="s">
        <v>220</v>
      </c>
      <c r="C38" s="517">
        <v>44995</v>
      </c>
      <c r="D38" s="517">
        <v>46820</v>
      </c>
      <c r="E38" s="527" t="s">
        <v>6</v>
      </c>
      <c r="F38" s="547">
        <f>5*365</f>
        <v>1825</v>
      </c>
      <c r="G38" s="454"/>
      <c r="H38" s="56">
        <f t="shared" si="2"/>
        <v>29633617372</v>
      </c>
      <c r="I38" s="423">
        <v>16237598.560000001</v>
      </c>
      <c r="J38" s="605">
        <v>5.15</v>
      </c>
      <c r="K38" s="296"/>
      <c r="L38" s="345"/>
      <c r="M38" s="345"/>
      <c r="N38" s="10">
        <f t="shared" si="3"/>
        <v>83623633</v>
      </c>
      <c r="O38" s="346"/>
      <c r="P38" s="346"/>
      <c r="Q38" s="346"/>
      <c r="R38" s="346"/>
      <c r="S38" s="346"/>
    </row>
    <row r="39" spans="2:19" s="344" customFormat="1" ht="24.95" customHeight="1" x14ac:dyDescent="0.25">
      <c r="B39" s="440" t="s">
        <v>545</v>
      </c>
      <c r="C39" s="517">
        <v>45496</v>
      </c>
      <c r="D39" s="517">
        <v>46956</v>
      </c>
      <c r="E39" s="527" t="s">
        <v>546</v>
      </c>
      <c r="F39" s="547">
        <v>1460</v>
      </c>
      <c r="G39" s="454"/>
      <c r="H39" s="56">
        <f t="shared" si="2"/>
        <v>140815813925.20001</v>
      </c>
      <c r="I39" s="423">
        <v>96449187.620000005</v>
      </c>
      <c r="J39" s="605">
        <v>5.75</v>
      </c>
      <c r="K39" s="296"/>
      <c r="L39" s="345"/>
      <c r="M39" s="345"/>
      <c r="N39" s="10">
        <f t="shared" si="3"/>
        <v>554582829</v>
      </c>
      <c r="O39" s="346"/>
      <c r="P39" s="346"/>
      <c r="Q39" s="346"/>
      <c r="R39" s="346"/>
      <c r="S39" s="346"/>
    </row>
    <row r="40" spans="2:19" s="344" customFormat="1" ht="24.95" customHeight="1" x14ac:dyDescent="0.25">
      <c r="B40" s="440" t="s">
        <v>163</v>
      </c>
      <c r="C40" s="517">
        <v>44799</v>
      </c>
      <c r="D40" s="517">
        <v>46989</v>
      </c>
      <c r="E40" s="527" t="s">
        <v>16</v>
      </c>
      <c r="F40" s="547">
        <f>6*365</f>
        <v>2190</v>
      </c>
      <c r="G40" s="454"/>
      <c r="H40" s="56">
        <f t="shared" si="2"/>
        <v>4741350000</v>
      </c>
      <c r="I40" s="423">
        <v>2165000</v>
      </c>
      <c r="J40" s="605">
        <v>4.13</v>
      </c>
      <c r="K40" s="296" t="s">
        <v>146</v>
      </c>
      <c r="L40" s="345"/>
      <c r="M40" s="345"/>
      <c r="N40" s="10">
        <f t="shared" si="3"/>
        <v>8941450</v>
      </c>
      <c r="O40" s="346"/>
      <c r="P40" s="346"/>
      <c r="Q40" s="346"/>
      <c r="R40" s="346"/>
      <c r="S40" s="346"/>
    </row>
    <row r="41" spans="2:19" s="17" customFormat="1" ht="24.95" customHeight="1" x14ac:dyDescent="0.25">
      <c r="B41" s="440" t="s">
        <v>135</v>
      </c>
      <c r="C41" s="517">
        <v>44075</v>
      </c>
      <c r="D41" s="517">
        <v>46995</v>
      </c>
      <c r="E41" s="527" t="s">
        <v>47</v>
      </c>
      <c r="F41" s="547">
        <f>8*365</f>
        <v>2920</v>
      </c>
      <c r="G41" s="454"/>
      <c r="H41" s="56">
        <f t="shared" si="2"/>
        <v>146000000000</v>
      </c>
      <c r="I41" s="423">
        <v>50000000</v>
      </c>
      <c r="J41" s="605">
        <v>3.55</v>
      </c>
      <c r="K41" s="296" t="s">
        <v>140</v>
      </c>
      <c r="L41" s="121"/>
      <c r="M41" s="121"/>
      <c r="N41" s="10">
        <f t="shared" si="3"/>
        <v>177500000</v>
      </c>
      <c r="O41" s="27"/>
      <c r="P41" s="27"/>
      <c r="Q41" s="27"/>
      <c r="R41" s="27"/>
      <c r="S41" s="27"/>
    </row>
    <row r="42" spans="2:19" s="17" customFormat="1" ht="24.95" customHeight="1" x14ac:dyDescent="0.25">
      <c r="B42" s="440" t="s">
        <v>153</v>
      </c>
      <c r="C42" s="517">
        <v>44676</v>
      </c>
      <c r="D42" s="517">
        <v>47231</v>
      </c>
      <c r="E42" s="527" t="s">
        <v>5</v>
      </c>
      <c r="F42" s="547">
        <f t="shared" ref="F42:F43" si="4">7*365</f>
        <v>2555</v>
      </c>
      <c r="G42" s="454"/>
      <c r="H42" s="56">
        <f t="shared" si="2"/>
        <v>76650000000</v>
      </c>
      <c r="I42" s="423">
        <v>30000000</v>
      </c>
      <c r="J42" s="605">
        <v>3.13</v>
      </c>
      <c r="K42" s="296" t="s">
        <v>146</v>
      </c>
      <c r="L42" s="121" t="s">
        <v>159</v>
      </c>
      <c r="M42" s="121"/>
      <c r="N42" s="10">
        <f t="shared" si="3"/>
        <v>93900000</v>
      </c>
      <c r="O42" s="27"/>
      <c r="P42" s="27"/>
      <c r="Q42" s="27"/>
      <c r="R42" s="27"/>
      <c r="S42" s="27"/>
    </row>
    <row r="43" spans="2:19" s="17" customFormat="1" ht="24.95" customHeight="1" x14ac:dyDescent="0.25">
      <c r="B43" s="440" t="s">
        <v>160</v>
      </c>
      <c r="C43" s="517">
        <v>44726</v>
      </c>
      <c r="D43" s="517">
        <v>47281</v>
      </c>
      <c r="E43" s="527" t="s">
        <v>5</v>
      </c>
      <c r="F43" s="547">
        <f t="shared" si="4"/>
        <v>2555</v>
      </c>
      <c r="G43" s="454"/>
      <c r="H43" s="56">
        <f t="shared" si="2"/>
        <v>53655000000</v>
      </c>
      <c r="I43" s="423">
        <v>21000000</v>
      </c>
      <c r="J43" s="605">
        <v>3.95</v>
      </c>
      <c r="K43" s="296" t="s">
        <v>146</v>
      </c>
      <c r="L43" s="121"/>
      <c r="M43" s="121"/>
      <c r="N43" s="10">
        <f t="shared" si="3"/>
        <v>82950000</v>
      </c>
      <c r="O43" s="27"/>
      <c r="P43" s="27"/>
      <c r="Q43" s="27"/>
      <c r="R43" s="27"/>
      <c r="S43" s="27"/>
    </row>
    <row r="44" spans="2:19" s="17" customFormat="1" ht="24.95" customHeight="1" x14ac:dyDescent="0.25">
      <c r="B44" s="440" t="s">
        <v>547</v>
      </c>
      <c r="C44" s="517">
        <v>45496</v>
      </c>
      <c r="D44" s="517">
        <v>47322</v>
      </c>
      <c r="E44" s="527" t="s">
        <v>548</v>
      </c>
      <c r="F44" s="547">
        <v>1826</v>
      </c>
      <c r="G44" s="454"/>
      <c r="H44" s="56">
        <f t="shared" si="2"/>
        <v>228250000000</v>
      </c>
      <c r="I44" s="423">
        <v>125000000</v>
      </c>
      <c r="J44" s="605">
        <v>5.81</v>
      </c>
      <c r="K44" s="296"/>
      <c r="L44" s="121"/>
      <c r="M44" s="121"/>
      <c r="N44" s="10">
        <f t="shared" si="3"/>
        <v>726250000</v>
      </c>
      <c r="O44" s="27"/>
      <c r="P44" s="27"/>
      <c r="Q44" s="27"/>
      <c r="R44" s="27"/>
      <c r="S44" s="27"/>
    </row>
    <row r="45" spans="2:19" s="344" customFormat="1" ht="24.95" customHeight="1" x14ac:dyDescent="0.25">
      <c r="B45" s="440" t="s">
        <v>165</v>
      </c>
      <c r="C45" s="517">
        <v>44799</v>
      </c>
      <c r="D45" s="517">
        <v>47354</v>
      </c>
      <c r="E45" s="527" t="s">
        <v>5</v>
      </c>
      <c r="F45" s="547">
        <v>2555</v>
      </c>
      <c r="G45" s="454"/>
      <c r="H45" s="56">
        <f t="shared" si="2"/>
        <v>5531575000</v>
      </c>
      <c r="I45" s="423">
        <v>2165000</v>
      </c>
      <c r="J45" s="605">
        <v>4.25</v>
      </c>
      <c r="K45" s="296"/>
      <c r="L45" s="345"/>
      <c r="M45" s="345"/>
      <c r="N45" s="10">
        <f t="shared" si="3"/>
        <v>9201250</v>
      </c>
      <c r="O45" s="346"/>
      <c r="P45" s="346"/>
      <c r="Q45" s="346"/>
      <c r="R45" s="346"/>
      <c r="S45" s="346"/>
    </row>
    <row r="46" spans="2:19" s="17" customFormat="1" ht="24.95" customHeight="1" x14ac:dyDescent="0.25">
      <c r="B46" s="440" t="s">
        <v>141</v>
      </c>
      <c r="C46" s="517">
        <v>44260</v>
      </c>
      <c r="D46" s="517">
        <v>47547</v>
      </c>
      <c r="E46" s="527" t="s">
        <v>144</v>
      </c>
      <c r="F46" s="547">
        <f>9*365</f>
        <v>3285</v>
      </c>
      <c r="G46" s="454"/>
      <c r="H46" s="56">
        <f t="shared" si="2"/>
        <v>82125000000</v>
      </c>
      <c r="I46" s="423">
        <v>25000000</v>
      </c>
      <c r="J46" s="605">
        <v>3</v>
      </c>
      <c r="K46" s="296" t="s">
        <v>146</v>
      </c>
      <c r="L46" s="121" t="s">
        <v>145</v>
      </c>
      <c r="M46" s="121"/>
      <c r="N46" s="10">
        <f t="shared" si="3"/>
        <v>75000000</v>
      </c>
      <c r="O46" s="27"/>
      <c r="P46" s="27"/>
      <c r="Q46" s="27"/>
      <c r="R46" s="27"/>
      <c r="S46" s="27"/>
    </row>
    <row r="47" spans="2:19" s="17" customFormat="1" ht="24.95" customHeight="1" x14ac:dyDescent="0.25">
      <c r="B47" s="440" t="s">
        <v>154</v>
      </c>
      <c r="C47" s="517">
        <v>44676</v>
      </c>
      <c r="D47" s="517">
        <v>47596</v>
      </c>
      <c r="E47" s="527" t="s">
        <v>47</v>
      </c>
      <c r="F47" s="547">
        <v>2920</v>
      </c>
      <c r="G47" s="454"/>
      <c r="H47" s="56">
        <f t="shared" si="2"/>
        <v>58400000000</v>
      </c>
      <c r="I47" s="423">
        <v>20000000</v>
      </c>
      <c r="J47" s="605">
        <v>3.25</v>
      </c>
      <c r="K47" s="296" t="s">
        <v>146</v>
      </c>
      <c r="L47" s="121" t="s">
        <v>159</v>
      </c>
      <c r="M47" s="121"/>
      <c r="N47" s="10">
        <f t="shared" si="3"/>
        <v>65000000</v>
      </c>
      <c r="O47" s="27"/>
      <c r="P47" s="27"/>
      <c r="Q47" s="27"/>
      <c r="R47" s="27"/>
      <c r="S47" s="27"/>
    </row>
    <row r="48" spans="2:19" s="344" customFormat="1" ht="24.95" customHeight="1" x14ac:dyDescent="0.25">
      <c r="B48" s="440" t="s">
        <v>166</v>
      </c>
      <c r="C48" s="517">
        <v>44799</v>
      </c>
      <c r="D48" s="517">
        <v>47721</v>
      </c>
      <c r="E48" s="527" t="s">
        <v>47</v>
      </c>
      <c r="F48" s="547">
        <v>2920</v>
      </c>
      <c r="G48" s="454"/>
      <c r="H48" s="56">
        <f t="shared" si="2"/>
        <v>6313821479.6000004</v>
      </c>
      <c r="I48" s="423">
        <v>2162267.63</v>
      </c>
      <c r="J48" s="605">
        <v>4.5</v>
      </c>
      <c r="K48" s="296" t="s">
        <v>146</v>
      </c>
      <c r="L48" s="345"/>
      <c r="M48" s="345"/>
      <c r="N48" s="10">
        <f t="shared" si="3"/>
        <v>9730204</v>
      </c>
      <c r="O48" s="346"/>
      <c r="P48" s="346"/>
      <c r="Q48" s="346"/>
      <c r="R48" s="346"/>
      <c r="S48" s="346"/>
    </row>
    <row r="49" spans="1:19" s="17" customFormat="1" ht="24.95" customHeight="1" x14ac:dyDescent="0.25">
      <c r="B49" s="440" t="s">
        <v>223</v>
      </c>
      <c r="C49" s="517">
        <v>44995</v>
      </c>
      <c r="D49" s="517">
        <v>47918</v>
      </c>
      <c r="E49" s="527" t="s">
        <v>47</v>
      </c>
      <c r="F49" s="547">
        <v>2920</v>
      </c>
      <c r="G49" s="454"/>
      <c r="H49" s="56">
        <f t="shared" si="2"/>
        <v>146000000000</v>
      </c>
      <c r="I49" s="423">
        <v>50000000</v>
      </c>
      <c r="J49" s="605">
        <v>5.55</v>
      </c>
      <c r="K49" s="296"/>
      <c r="L49" s="121"/>
      <c r="M49" s="121"/>
      <c r="N49" s="10">
        <f t="shared" si="3"/>
        <v>277500000</v>
      </c>
      <c r="O49" s="27"/>
      <c r="P49" s="27"/>
      <c r="Q49" s="27"/>
      <c r="R49" s="27"/>
      <c r="S49" s="27"/>
    </row>
    <row r="50" spans="1:19" s="344" customFormat="1" ht="24.95" customHeight="1" x14ac:dyDescent="0.25">
      <c r="B50" s="440" t="s">
        <v>155</v>
      </c>
      <c r="C50" s="517">
        <v>44676</v>
      </c>
      <c r="D50" s="517">
        <v>47961</v>
      </c>
      <c r="E50" s="527" t="s">
        <v>144</v>
      </c>
      <c r="F50" s="547">
        <v>3285</v>
      </c>
      <c r="G50" s="454"/>
      <c r="H50" s="56">
        <f t="shared" si="2"/>
        <v>27922500000</v>
      </c>
      <c r="I50" s="423">
        <v>8500000</v>
      </c>
      <c r="J50" s="605">
        <v>3.38</v>
      </c>
      <c r="K50" s="296"/>
      <c r="L50" s="345"/>
      <c r="M50" s="345"/>
      <c r="N50" s="10">
        <f t="shared" si="3"/>
        <v>28730000</v>
      </c>
      <c r="O50" s="346"/>
      <c r="P50" s="346"/>
      <c r="Q50" s="346"/>
      <c r="R50" s="346"/>
      <c r="S50" s="346"/>
    </row>
    <row r="51" spans="1:19" s="344" customFormat="1" ht="24.95" customHeight="1" x14ac:dyDescent="0.25">
      <c r="B51" s="440" t="s">
        <v>224</v>
      </c>
      <c r="C51" s="517">
        <v>44995</v>
      </c>
      <c r="D51" s="517">
        <v>47922</v>
      </c>
      <c r="E51" s="527" t="s">
        <v>47</v>
      </c>
      <c r="F51" s="547">
        <v>2920</v>
      </c>
      <c r="G51" s="454"/>
      <c r="H51" s="56">
        <f t="shared" si="2"/>
        <v>101893719623.2</v>
      </c>
      <c r="I51" s="423">
        <v>34895109.460000001</v>
      </c>
      <c r="J51" s="605">
        <v>5.55</v>
      </c>
      <c r="K51" s="296"/>
      <c r="L51" s="345"/>
      <c r="M51" s="345"/>
      <c r="N51" s="10">
        <f t="shared" si="3"/>
        <v>193667858</v>
      </c>
      <c r="O51" s="346"/>
      <c r="P51" s="346"/>
      <c r="Q51" s="346"/>
      <c r="R51" s="346"/>
      <c r="S51" s="346"/>
    </row>
    <row r="52" spans="1:19" s="344" customFormat="1" ht="24.95" customHeight="1" x14ac:dyDescent="0.25">
      <c r="B52" s="440" t="s">
        <v>328</v>
      </c>
      <c r="C52" s="517">
        <v>45091</v>
      </c>
      <c r="D52" s="517">
        <v>48379</v>
      </c>
      <c r="E52" s="527" t="s">
        <v>325</v>
      </c>
      <c r="F52" s="547">
        <v>3288</v>
      </c>
      <c r="G52" s="454"/>
      <c r="H52" s="56">
        <f t="shared" si="2"/>
        <v>124974568536</v>
      </c>
      <c r="I52" s="423">
        <v>38009297</v>
      </c>
      <c r="J52" s="605">
        <v>5.7</v>
      </c>
      <c r="K52" s="296"/>
      <c r="L52" s="345"/>
      <c r="M52" s="345"/>
      <c r="N52" s="10">
        <f t="shared" si="3"/>
        <v>216652993</v>
      </c>
      <c r="O52" s="346"/>
      <c r="P52" s="346"/>
      <c r="Q52" s="346"/>
      <c r="R52" s="346"/>
      <c r="S52" s="346"/>
    </row>
    <row r="53" spans="1:19" s="10" customFormat="1" ht="24.95" customHeight="1" x14ac:dyDescent="0.25">
      <c r="B53" s="440" t="s">
        <v>311</v>
      </c>
      <c r="C53" s="517">
        <v>45016</v>
      </c>
      <c r="D53" s="517">
        <v>48302</v>
      </c>
      <c r="E53" s="527" t="s">
        <v>144</v>
      </c>
      <c r="F53" s="547">
        <v>3285</v>
      </c>
      <c r="G53" s="454"/>
      <c r="H53" s="56">
        <f t="shared" si="2"/>
        <v>312494332023.90002</v>
      </c>
      <c r="I53" s="423">
        <v>95127650.540000007</v>
      </c>
      <c r="J53" s="605">
        <v>5.63</v>
      </c>
      <c r="K53" s="158"/>
      <c r="N53" s="10">
        <f t="shared" si="3"/>
        <v>535568673</v>
      </c>
      <c r="O53" s="4"/>
      <c r="P53" s="4"/>
      <c r="Q53" s="4"/>
      <c r="R53" s="4"/>
      <c r="S53" s="4"/>
    </row>
    <row r="54" spans="1:19" s="10" customFormat="1" ht="24.95" customHeight="1" x14ac:dyDescent="0.25">
      <c r="B54" s="440" t="s">
        <v>480</v>
      </c>
      <c r="C54" s="517">
        <v>45464</v>
      </c>
      <c r="D54" s="517">
        <v>48751</v>
      </c>
      <c r="E54" s="527" t="s">
        <v>481</v>
      </c>
      <c r="F54" s="547">
        <v>3287</v>
      </c>
      <c r="G54" s="454"/>
      <c r="H54" s="56">
        <f t="shared" si="2"/>
        <v>83168153902</v>
      </c>
      <c r="I54" s="423">
        <v>25302146</v>
      </c>
      <c r="J54" s="605">
        <v>6</v>
      </c>
      <c r="K54" s="158"/>
      <c r="N54" s="10">
        <f t="shared" si="3"/>
        <v>151812876</v>
      </c>
      <c r="O54" s="4"/>
      <c r="P54" s="4"/>
      <c r="Q54" s="4"/>
      <c r="R54" s="4"/>
      <c r="S54" s="4"/>
    </row>
    <row r="55" spans="1:19" s="10" customFormat="1" ht="12.75" customHeight="1" x14ac:dyDescent="0.25">
      <c r="B55" s="440"/>
      <c r="C55" s="517"/>
      <c r="D55" s="517"/>
      <c r="E55" s="497"/>
      <c r="F55" s="497"/>
      <c r="G55" s="516"/>
      <c r="H55" s="497"/>
      <c r="I55" s="423"/>
      <c r="J55" s="189"/>
      <c r="K55" s="158"/>
      <c r="O55" s="4"/>
      <c r="P55" s="4"/>
      <c r="Q55" s="4"/>
      <c r="R55" s="4"/>
      <c r="S55" s="4"/>
    </row>
    <row r="56" spans="1:19" s="10" customFormat="1" ht="24.95" customHeight="1" x14ac:dyDescent="0.25">
      <c r="B56" s="668" t="s">
        <v>599</v>
      </c>
      <c r="C56" s="318"/>
      <c r="D56" s="318"/>
      <c r="E56" s="446"/>
      <c r="F56" s="669">
        <f>+H56/I56</f>
        <v>1387</v>
      </c>
      <c r="G56" s="565">
        <f>+F56/365</f>
        <v>3.8</v>
      </c>
      <c r="H56" s="537">
        <f>+H57+H60+H64+H66</f>
        <v>218452577507.75</v>
      </c>
      <c r="I56" s="560">
        <f>+I57+I60+I64+I66</f>
        <v>157500212.34999999</v>
      </c>
      <c r="J56" s="701">
        <f>+N56/I56</f>
        <v>7.63</v>
      </c>
      <c r="K56" s="158"/>
      <c r="N56" s="426">
        <f>SUM(N58:N67)</f>
        <v>1201202548</v>
      </c>
      <c r="O56" s="4"/>
      <c r="P56" s="4"/>
      <c r="Q56" s="4"/>
      <c r="R56" s="4"/>
      <c r="S56" s="4"/>
    </row>
    <row r="57" spans="1:19" s="10" customFormat="1" ht="24.95" customHeight="1" x14ac:dyDescent="0.25">
      <c r="A57" s="29"/>
      <c r="B57" s="607" t="s">
        <v>39</v>
      </c>
      <c r="C57" s="517"/>
      <c r="D57" s="517"/>
      <c r="E57" s="497"/>
      <c r="F57" s="497"/>
      <c r="G57" s="516"/>
      <c r="H57" s="32">
        <f>SUM(H58:H59)</f>
        <v>91980000000</v>
      </c>
      <c r="I57" s="533">
        <f>SUM(I58:I59)</f>
        <v>63000000</v>
      </c>
      <c r="J57" s="563">
        <f>+N57/I57</f>
        <v>4.75</v>
      </c>
      <c r="K57" s="296" t="s">
        <v>146</v>
      </c>
      <c r="N57" s="32">
        <f>SUM(N58:N59)</f>
        <v>299250000</v>
      </c>
      <c r="O57" s="4"/>
      <c r="P57" s="4"/>
      <c r="Q57" s="4"/>
      <c r="R57" s="4"/>
      <c r="S57" s="4"/>
    </row>
    <row r="58" spans="1:19" s="10" customFormat="1" ht="24.95" customHeight="1" x14ac:dyDescent="0.25">
      <c r="A58" s="29"/>
      <c r="B58" s="314">
        <v>50401000670</v>
      </c>
      <c r="C58" s="516">
        <v>44802</v>
      </c>
      <c r="D58" s="516">
        <v>46262</v>
      </c>
      <c r="E58" s="527" t="s">
        <v>15</v>
      </c>
      <c r="F58" s="547">
        <f>4*365</f>
        <v>1460</v>
      </c>
      <c r="G58" s="516"/>
      <c r="H58" s="56">
        <f t="shared" ref="H58:H67" si="5">+F58*I58</f>
        <v>45990000000</v>
      </c>
      <c r="I58" s="423">
        <v>31500000</v>
      </c>
      <c r="J58" s="605">
        <v>4.7</v>
      </c>
      <c r="K58" s="296" t="s">
        <v>146</v>
      </c>
      <c r="N58" s="622">
        <f t="shared" ref="N58:N67" si="6">+I58*J58</f>
        <v>148050000</v>
      </c>
      <c r="O58" s="4"/>
      <c r="P58" s="4"/>
      <c r="Q58" s="4"/>
      <c r="R58" s="4"/>
      <c r="S58" s="4"/>
    </row>
    <row r="59" spans="1:19" s="10" customFormat="1" ht="24.95" customHeight="1" x14ac:dyDescent="0.25">
      <c r="B59" s="314">
        <v>50401000686</v>
      </c>
      <c r="C59" s="516">
        <v>44802</v>
      </c>
      <c r="D59" s="516">
        <v>46627</v>
      </c>
      <c r="E59" s="527" t="s">
        <v>6</v>
      </c>
      <c r="F59" s="547">
        <f>4*365</f>
        <v>1460</v>
      </c>
      <c r="G59" s="516"/>
      <c r="H59" s="56">
        <f t="shared" si="5"/>
        <v>45990000000</v>
      </c>
      <c r="I59" s="423">
        <v>31500000</v>
      </c>
      <c r="J59" s="605">
        <v>4.8</v>
      </c>
      <c r="K59" s="158"/>
      <c r="N59" s="622">
        <f t="shared" si="6"/>
        <v>151200000</v>
      </c>
      <c r="O59" s="4"/>
      <c r="P59" s="4"/>
      <c r="Q59" s="4"/>
      <c r="R59" s="4"/>
      <c r="S59" s="4"/>
    </row>
    <row r="60" spans="1:19" s="10" customFormat="1" ht="24.95" customHeight="1" x14ac:dyDescent="0.25">
      <c r="A60" s="29"/>
      <c r="B60" s="607" t="s">
        <v>168</v>
      </c>
      <c r="C60" s="517"/>
      <c r="D60" s="517"/>
      <c r="E60" s="497"/>
      <c r="F60" s="497"/>
      <c r="G60" s="516"/>
      <c r="H60" s="32">
        <f>SUM(H61:H63)</f>
        <v>91980000000</v>
      </c>
      <c r="I60" s="533">
        <f>SUM(I61:I63)</f>
        <v>63000000</v>
      </c>
      <c r="J60" s="563">
        <f>+N60/I60</f>
        <v>4.53</v>
      </c>
      <c r="K60" s="296" t="s">
        <v>146</v>
      </c>
      <c r="N60" s="32">
        <f>SUM(N61:N63)</f>
        <v>285600000</v>
      </c>
      <c r="O60" s="4"/>
      <c r="P60" s="4"/>
      <c r="Q60" s="4"/>
      <c r="R60" s="4"/>
      <c r="S60" s="4"/>
    </row>
    <row r="61" spans="1:19" s="10" customFormat="1" ht="24.95" customHeight="1" x14ac:dyDescent="0.25">
      <c r="A61" s="29"/>
      <c r="B61" s="440">
        <v>130020000610160</v>
      </c>
      <c r="C61" s="517">
        <v>44803</v>
      </c>
      <c r="D61" s="517">
        <v>45898</v>
      </c>
      <c r="E61" s="527" t="s">
        <v>9</v>
      </c>
      <c r="F61" s="547">
        <f>3*365</f>
        <v>1095</v>
      </c>
      <c r="G61" s="516"/>
      <c r="H61" s="56">
        <f t="shared" si="5"/>
        <v>22995000000</v>
      </c>
      <c r="I61" s="423">
        <v>21000000</v>
      </c>
      <c r="J61" s="671">
        <v>4.0999999999999996</v>
      </c>
      <c r="K61" s="296" t="s">
        <v>146</v>
      </c>
      <c r="N61" s="622">
        <f t="shared" si="6"/>
        <v>86100000</v>
      </c>
      <c r="O61" s="4"/>
      <c r="P61" s="4"/>
      <c r="Q61" s="4"/>
      <c r="R61" s="4"/>
      <c r="S61" s="4"/>
    </row>
    <row r="62" spans="1:19" s="10" customFormat="1" ht="24.95" customHeight="1" x14ac:dyDescent="0.25">
      <c r="A62" s="29"/>
      <c r="B62" s="440">
        <v>130020000610112</v>
      </c>
      <c r="C62" s="517">
        <v>44803</v>
      </c>
      <c r="D62" s="517">
        <v>46265</v>
      </c>
      <c r="E62" s="527" t="s">
        <v>15</v>
      </c>
      <c r="F62" s="547">
        <f>4*365</f>
        <v>1460</v>
      </c>
      <c r="G62" s="516"/>
      <c r="H62" s="56">
        <f t="shared" si="5"/>
        <v>30660000000</v>
      </c>
      <c r="I62" s="423">
        <v>21000000</v>
      </c>
      <c r="J62" s="671">
        <v>4.5</v>
      </c>
      <c r="K62" s="296" t="s">
        <v>146</v>
      </c>
      <c r="N62" s="622">
        <f t="shared" si="6"/>
        <v>94500000</v>
      </c>
      <c r="O62" s="4"/>
      <c r="P62" s="4"/>
      <c r="Q62" s="4"/>
      <c r="R62" s="4"/>
      <c r="S62" s="4"/>
    </row>
    <row r="63" spans="1:19" s="10" customFormat="1" ht="24.95" customHeight="1" x14ac:dyDescent="0.25">
      <c r="A63" s="29"/>
      <c r="B63" s="440">
        <v>130020000610110</v>
      </c>
      <c r="C63" s="517">
        <v>44803</v>
      </c>
      <c r="D63" s="517">
        <v>46629</v>
      </c>
      <c r="E63" s="527" t="s">
        <v>6</v>
      </c>
      <c r="F63" s="547">
        <f>5*365</f>
        <v>1825</v>
      </c>
      <c r="G63" s="516"/>
      <c r="H63" s="56">
        <f t="shared" si="5"/>
        <v>38325000000</v>
      </c>
      <c r="I63" s="423">
        <v>21000000</v>
      </c>
      <c r="J63" s="671">
        <v>5</v>
      </c>
      <c r="K63" s="158"/>
      <c r="N63" s="622">
        <f t="shared" si="6"/>
        <v>105000000</v>
      </c>
      <c r="O63" s="4"/>
      <c r="P63" s="4"/>
      <c r="Q63" s="4"/>
      <c r="R63" s="4"/>
      <c r="S63" s="4"/>
    </row>
    <row r="64" spans="1:19" s="10" customFormat="1" ht="24.95" customHeight="1" x14ac:dyDescent="0.25">
      <c r="A64" s="29"/>
      <c r="B64" s="607" t="s">
        <v>359</v>
      </c>
      <c r="C64" s="517"/>
      <c r="D64" s="517"/>
      <c r="E64" s="497"/>
      <c r="F64" s="547"/>
      <c r="G64" s="516"/>
      <c r="H64" s="32">
        <f>H65</f>
        <v>34492500000</v>
      </c>
      <c r="I64" s="533">
        <f>I65</f>
        <v>31500000</v>
      </c>
      <c r="J64" s="563">
        <f>+N64/I64</f>
        <v>5.25</v>
      </c>
      <c r="K64" s="296" t="s">
        <v>140</v>
      </c>
      <c r="N64" s="32">
        <f>N65</f>
        <v>165375000</v>
      </c>
      <c r="O64" s="4"/>
      <c r="P64" s="4"/>
      <c r="Q64" s="4"/>
      <c r="R64" s="4"/>
      <c r="S64" s="4"/>
    </row>
    <row r="65" spans="1:22" s="10" customFormat="1" ht="24.95" customHeight="1" x14ac:dyDescent="0.25">
      <c r="B65" s="314">
        <v>258906338</v>
      </c>
      <c r="C65" s="516">
        <v>44777</v>
      </c>
      <c r="D65" s="516">
        <v>45873</v>
      </c>
      <c r="E65" s="527" t="s">
        <v>9</v>
      </c>
      <c r="F65" s="547">
        <f>3*365</f>
        <v>1095</v>
      </c>
      <c r="G65" s="516"/>
      <c r="H65" s="56">
        <f t="shared" si="5"/>
        <v>34492500000</v>
      </c>
      <c r="I65" s="423">
        <v>31500000</v>
      </c>
      <c r="J65" s="605">
        <v>5.25</v>
      </c>
      <c r="K65" s="158"/>
      <c r="N65" s="622">
        <f t="shared" si="6"/>
        <v>165375000</v>
      </c>
      <c r="O65" s="4"/>
      <c r="P65" s="4"/>
      <c r="Q65" s="4"/>
      <c r="R65" s="4"/>
      <c r="S65" s="4"/>
    </row>
    <row r="66" spans="1:22" s="10" customFormat="1" ht="24.95" customHeight="1" x14ac:dyDescent="0.25">
      <c r="B66" s="607" t="s">
        <v>357</v>
      </c>
      <c r="C66" s="517"/>
      <c r="D66" s="517"/>
      <c r="E66" s="497"/>
      <c r="F66" s="547"/>
      <c r="G66" s="516"/>
      <c r="H66" s="32">
        <f>H67</f>
        <v>77507.75</v>
      </c>
      <c r="I66" s="533">
        <f>I67</f>
        <v>212.35</v>
      </c>
      <c r="J66" s="563">
        <f>+N66/I66</f>
        <v>6</v>
      </c>
      <c r="K66" s="158"/>
      <c r="N66" s="32">
        <f>N67</f>
        <v>1274</v>
      </c>
      <c r="O66" s="4"/>
      <c r="P66" s="4"/>
      <c r="Q66" s="4"/>
      <c r="R66" s="4"/>
      <c r="S66" s="4"/>
    </row>
    <row r="67" spans="1:22" s="10" customFormat="1" ht="24.95" customHeight="1" x14ac:dyDescent="0.25">
      <c r="B67" s="314">
        <v>1710142723</v>
      </c>
      <c r="C67" s="517">
        <v>45183</v>
      </c>
      <c r="D67" s="516">
        <v>45548</v>
      </c>
      <c r="E67" s="497" t="s">
        <v>199</v>
      </c>
      <c r="F67" s="547">
        <v>365</v>
      </c>
      <c r="G67" s="516"/>
      <c r="H67" s="56">
        <f t="shared" si="5"/>
        <v>77507.75</v>
      </c>
      <c r="I67" s="423">
        <v>212.35</v>
      </c>
      <c r="J67" s="605">
        <v>6</v>
      </c>
      <c r="K67" s="158"/>
      <c r="N67" s="10">
        <f t="shared" si="6"/>
        <v>1274</v>
      </c>
      <c r="O67" s="4"/>
      <c r="P67" s="4"/>
      <c r="Q67" s="4"/>
      <c r="R67" s="4"/>
      <c r="S67" s="4"/>
    </row>
    <row r="68" spans="1:22" s="10" customFormat="1" ht="9.75" customHeight="1" x14ac:dyDescent="0.25">
      <c r="B68" s="314"/>
      <c r="C68" s="517"/>
      <c r="D68" s="516"/>
      <c r="E68" s="497"/>
      <c r="F68" s="497"/>
      <c r="G68" s="516"/>
      <c r="H68" s="497"/>
      <c r="I68" s="423"/>
      <c r="J68" s="189"/>
      <c r="K68" s="158"/>
      <c r="N68" s="25"/>
      <c r="O68" s="4"/>
      <c r="P68" s="4"/>
      <c r="Q68" s="4"/>
      <c r="R68" s="4"/>
      <c r="S68" s="4"/>
    </row>
    <row r="69" spans="1:22" s="8" customFormat="1" ht="39.75" customHeight="1" x14ac:dyDescent="0.25">
      <c r="A69" s="10"/>
      <c r="B69" s="705" t="s">
        <v>18</v>
      </c>
      <c r="C69" s="144"/>
      <c r="D69" s="144"/>
      <c r="E69" s="187"/>
      <c r="F69" s="187"/>
      <c r="G69" s="144"/>
      <c r="H69" s="187"/>
      <c r="I69" s="382">
        <f>SUM(I70,I96,I132,I139,I144,I147,I136)</f>
        <v>2906328880.73</v>
      </c>
      <c r="J69" s="706">
        <f>+N69/I69</f>
        <v>4.75</v>
      </c>
      <c r="K69" s="158"/>
      <c r="L69" s="10"/>
      <c r="M69" s="10"/>
      <c r="N69" s="32">
        <f>SUM(N70,N96,N132,N139,N144,N147,N136)</f>
        <v>13813826342</v>
      </c>
      <c r="O69" s="6"/>
      <c r="P69" s="6"/>
      <c r="Q69" s="6"/>
      <c r="R69" s="6"/>
      <c r="S69" s="6"/>
    </row>
    <row r="70" spans="1:22" s="8" customFormat="1" ht="24.95" customHeight="1" x14ac:dyDescent="0.25">
      <c r="A70" s="10"/>
      <c r="B70" s="558" t="s">
        <v>54</v>
      </c>
      <c r="C70" s="516"/>
      <c r="D70" s="516"/>
      <c r="E70" s="497"/>
      <c r="F70" s="667">
        <f>+H70/I70</f>
        <v>1605</v>
      </c>
      <c r="G70" s="562">
        <f>+F70/365</f>
        <v>4.4000000000000004</v>
      </c>
      <c r="H70" s="32">
        <f>SUM(H71:H88,H90)</f>
        <v>2302998470606.8301</v>
      </c>
      <c r="I70" s="533">
        <f>SUM(I71:I88,I90)</f>
        <v>1434753407.8699999</v>
      </c>
      <c r="J70" s="563">
        <f>+N70/I70</f>
        <v>4.55</v>
      </c>
      <c r="K70" s="158"/>
      <c r="L70" s="10"/>
      <c r="M70" s="10"/>
      <c r="N70" s="32">
        <f>SUM(N71:N88,N90)</f>
        <v>6522294271</v>
      </c>
      <c r="O70" s="6"/>
      <c r="P70" s="6"/>
      <c r="Q70" s="6"/>
      <c r="R70" s="6"/>
      <c r="S70" s="6"/>
    </row>
    <row r="71" spans="1:22" s="8" customFormat="1" ht="24.95" customHeight="1" x14ac:dyDescent="0.25">
      <c r="A71" s="10"/>
      <c r="B71" s="314">
        <v>150000173561</v>
      </c>
      <c r="C71" s="516">
        <v>45504</v>
      </c>
      <c r="D71" s="517">
        <v>45505</v>
      </c>
      <c r="E71" s="527" t="s">
        <v>587</v>
      </c>
      <c r="F71" s="547">
        <v>1</v>
      </c>
      <c r="G71" s="454"/>
      <c r="H71" s="56">
        <f t="shared" ref="H71:H88" si="7">+F71*I71</f>
        <v>38634447.880000003</v>
      </c>
      <c r="I71" s="423">
        <v>38634447.880000003</v>
      </c>
      <c r="J71" s="605">
        <v>3.25</v>
      </c>
      <c r="K71" s="158"/>
      <c r="L71" s="10"/>
      <c r="M71" s="10"/>
      <c r="N71" s="10">
        <f t="shared" ref="N71:N88" si="8">+I71*J71</f>
        <v>125561956</v>
      </c>
      <c r="O71" s="6"/>
      <c r="P71" s="6"/>
      <c r="Q71" s="6"/>
      <c r="R71" s="6"/>
      <c r="S71" s="6"/>
    </row>
    <row r="72" spans="1:22" s="8" customFormat="1" ht="24.95" customHeight="1" x14ac:dyDescent="0.25">
      <c r="A72" s="10"/>
      <c r="B72" s="314">
        <v>150000173570</v>
      </c>
      <c r="C72" s="516">
        <v>45504</v>
      </c>
      <c r="D72" s="517">
        <v>45505</v>
      </c>
      <c r="E72" s="527" t="s">
        <v>587</v>
      </c>
      <c r="F72" s="547">
        <v>1</v>
      </c>
      <c r="G72" s="454"/>
      <c r="H72" s="56">
        <f t="shared" si="7"/>
        <v>16365552.119999999</v>
      </c>
      <c r="I72" s="423">
        <v>16365552.119999999</v>
      </c>
      <c r="J72" s="605">
        <v>3.25</v>
      </c>
      <c r="K72" s="158"/>
      <c r="L72" s="10"/>
      <c r="M72" s="10"/>
      <c r="N72" s="10">
        <f t="shared" si="8"/>
        <v>53188044</v>
      </c>
      <c r="O72" s="6"/>
      <c r="P72" s="6"/>
      <c r="Q72" s="6"/>
      <c r="R72" s="6"/>
      <c r="S72" s="6"/>
    </row>
    <row r="73" spans="1:22" s="8" customFormat="1" ht="24.95" customHeight="1" x14ac:dyDescent="0.25">
      <c r="A73" s="10"/>
      <c r="B73" s="314">
        <v>150000172152</v>
      </c>
      <c r="C73" s="516">
        <v>45483</v>
      </c>
      <c r="D73" s="517">
        <v>45512</v>
      </c>
      <c r="E73" s="527" t="s">
        <v>395</v>
      </c>
      <c r="F73" s="547">
        <v>29</v>
      </c>
      <c r="G73" s="454"/>
      <c r="H73" s="56">
        <f t="shared" si="7"/>
        <v>11777782282.08</v>
      </c>
      <c r="I73" s="423">
        <v>406130423.51999998</v>
      </c>
      <c r="J73" s="605">
        <v>4.12</v>
      </c>
      <c r="K73" s="158"/>
      <c r="L73" s="10"/>
      <c r="M73" s="10"/>
      <c r="N73" s="10">
        <f t="shared" si="8"/>
        <v>1673257345</v>
      </c>
      <c r="O73" s="6"/>
      <c r="P73" s="6"/>
      <c r="Q73" s="6"/>
      <c r="R73" s="6"/>
      <c r="S73" s="6"/>
    </row>
    <row r="74" spans="1:22" s="8" customFormat="1" ht="24.95" customHeight="1" x14ac:dyDescent="0.25">
      <c r="A74" s="10"/>
      <c r="B74" s="314">
        <v>1500000172170</v>
      </c>
      <c r="C74" s="516">
        <v>45461</v>
      </c>
      <c r="D74" s="517">
        <v>45490</v>
      </c>
      <c r="E74" s="527" t="s">
        <v>395</v>
      </c>
      <c r="F74" s="547">
        <v>29</v>
      </c>
      <c r="G74" s="454"/>
      <c r="H74" s="56">
        <f t="shared" si="7"/>
        <v>1450000000</v>
      </c>
      <c r="I74" s="423">
        <v>50000000</v>
      </c>
      <c r="J74" s="605">
        <v>4.12</v>
      </c>
      <c r="K74" s="158"/>
      <c r="L74" s="10"/>
      <c r="M74" s="10"/>
      <c r="N74" s="10">
        <f t="shared" si="8"/>
        <v>206000000</v>
      </c>
      <c r="O74" s="6"/>
      <c r="P74" s="6"/>
      <c r="Q74" s="6"/>
      <c r="R74" s="6"/>
      <c r="S74" s="6"/>
    </row>
    <row r="75" spans="1:22" s="10" customFormat="1" ht="24.95" customHeight="1" x14ac:dyDescent="0.25">
      <c r="B75" s="440"/>
      <c r="C75" s="517">
        <v>45264</v>
      </c>
      <c r="D75" s="517">
        <v>45446</v>
      </c>
      <c r="E75" s="527" t="s">
        <v>426</v>
      </c>
      <c r="F75" s="547"/>
      <c r="G75" s="454"/>
      <c r="H75" s="56">
        <f t="shared" si="7"/>
        <v>0</v>
      </c>
      <c r="I75" s="423"/>
      <c r="J75" s="605">
        <v>5</v>
      </c>
      <c r="K75" s="371" t="s">
        <v>402</v>
      </c>
      <c r="N75" s="10">
        <f t="shared" si="8"/>
        <v>0</v>
      </c>
      <c r="R75" s="4"/>
      <c r="S75" s="4"/>
      <c r="T75" s="4"/>
      <c r="U75" s="4"/>
      <c r="V75" s="4"/>
    </row>
    <row r="76" spans="1:22" s="10" customFormat="1" ht="24.95" customHeight="1" x14ac:dyDescent="0.25">
      <c r="B76" s="440"/>
      <c r="C76" s="517">
        <v>45264</v>
      </c>
      <c r="D76" s="517">
        <v>45446</v>
      </c>
      <c r="E76" s="527" t="s">
        <v>426</v>
      </c>
      <c r="F76" s="547"/>
      <c r="G76" s="454"/>
      <c r="H76" s="56">
        <f t="shared" si="7"/>
        <v>0</v>
      </c>
      <c r="I76" s="423"/>
      <c r="J76" s="605">
        <v>5</v>
      </c>
      <c r="K76" s="371" t="s">
        <v>402</v>
      </c>
      <c r="N76" s="10">
        <f t="shared" si="8"/>
        <v>0</v>
      </c>
      <c r="R76" s="4"/>
      <c r="S76" s="4"/>
      <c r="T76" s="4"/>
      <c r="U76" s="4"/>
      <c r="V76" s="4"/>
    </row>
    <row r="77" spans="1:22" s="10" customFormat="1" ht="24.95" customHeight="1" x14ac:dyDescent="0.25">
      <c r="B77" s="314">
        <v>110000058124</v>
      </c>
      <c r="C77" s="516">
        <v>43150</v>
      </c>
      <c r="D77" s="516">
        <v>45707</v>
      </c>
      <c r="E77" s="527" t="s">
        <v>5</v>
      </c>
      <c r="F77" s="547">
        <f>7*365</f>
        <v>2555</v>
      </c>
      <c r="G77" s="454"/>
      <c r="H77" s="56">
        <f t="shared" si="7"/>
        <v>50980604236.800003</v>
      </c>
      <c r="I77" s="423">
        <v>19953269.760000002</v>
      </c>
      <c r="J77" s="605">
        <v>3.15</v>
      </c>
      <c r="K77" s="347" t="s">
        <v>146</v>
      </c>
      <c r="L77" s="332"/>
      <c r="M77" s="332"/>
      <c r="N77" s="10">
        <f t="shared" si="8"/>
        <v>62852800</v>
      </c>
      <c r="O77" s="4"/>
      <c r="P77" s="4"/>
      <c r="Q77" s="4"/>
      <c r="R77" s="4"/>
      <c r="S77" s="4"/>
    </row>
    <row r="78" spans="1:22" s="8" customFormat="1" ht="24.95" customHeight="1" x14ac:dyDescent="0.25">
      <c r="A78" s="10"/>
      <c r="B78" s="440">
        <v>110000053342</v>
      </c>
      <c r="C78" s="516">
        <v>42916</v>
      </c>
      <c r="D78" s="516">
        <v>45838</v>
      </c>
      <c r="E78" s="527" t="s">
        <v>47</v>
      </c>
      <c r="F78" s="547">
        <f>8*365</f>
        <v>2920</v>
      </c>
      <c r="G78" s="454"/>
      <c r="H78" s="56">
        <f t="shared" si="7"/>
        <v>421918327935.20001</v>
      </c>
      <c r="I78" s="423">
        <v>144492578.06</v>
      </c>
      <c r="J78" s="671">
        <v>3.25</v>
      </c>
      <c r="K78" s="296" t="s">
        <v>140</v>
      </c>
      <c r="L78" s="10" t="s">
        <v>74</v>
      </c>
      <c r="M78" s="10"/>
      <c r="N78" s="10">
        <f t="shared" si="8"/>
        <v>469600879</v>
      </c>
      <c r="O78" s="6"/>
      <c r="P78" s="6"/>
      <c r="Q78" s="6"/>
      <c r="R78" s="6"/>
      <c r="S78" s="6"/>
    </row>
    <row r="79" spans="1:22" s="10" customFormat="1" ht="24.95" customHeight="1" x14ac:dyDescent="0.25">
      <c r="B79" s="314">
        <v>110000083824</v>
      </c>
      <c r="C79" s="517">
        <v>44895</v>
      </c>
      <c r="D79" s="517">
        <v>45992</v>
      </c>
      <c r="E79" s="527" t="s">
        <v>9</v>
      </c>
      <c r="F79" s="547">
        <f>3*365</f>
        <v>1095</v>
      </c>
      <c r="G79" s="454"/>
      <c r="H79" s="56">
        <f t="shared" si="7"/>
        <v>141273045.59999999</v>
      </c>
      <c r="I79" s="423">
        <v>129016.48</v>
      </c>
      <c r="J79" s="605">
        <v>4.2</v>
      </c>
      <c r="K79" s="347" t="s">
        <v>146</v>
      </c>
      <c r="L79" s="332"/>
      <c r="M79" s="332"/>
      <c r="N79" s="10">
        <f t="shared" si="8"/>
        <v>541869</v>
      </c>
      <c r="O79" s="4"/>
      <c r="P79" s="4"/>
      <c r="Q79" s="4"/>
      <c r="R79" s="4"/>
      <c r="S79" s="4"/>
    </row>
    <row r="80" spans="1:22" s="10" customFormat="1" ht="24.95" customHeight="1" x14ac:dyDescent="0.25">
      <c r="B80" s="314">
        <v>110000083842</v>
      </c>
      <c r="C80" s="517">
        <v>44895</v>
      </c>
      <c r="D80" s="517">
        <v>45992</v>
      </c>
      <c r="E80" s="527" t="s">
        <v>9</v>
      </c>
      <c r="F80" s="547">
        <f>3*365</f>
        <v>1095</v>
      </c>
      <c r="G80" s="454"/>
      <c r="H80" s="56">
        <f t="shared" si="7"/>
        <v>3512197104.3000002</v>
      </c>
      <c r="I80" s="423">
        <v>3207485.94</v>
      </c>
      <c r="J80" s="605">
        <v>4.2</v>
      </c>
      <c r="K80" s="347" t="s">
        <v>146</v>
      </c>
      <c r="L80" s="332"/>
      <c r="M80" s="332"/>
      <c r="N80" s="10">
        <f t="shared" si="8"/>
        <v>13471441</v>
      </c>
      <c r="O80" s="4"/>
      <c r="P80" s="4"/>
      <c r="Q80" s="4"/>
      <c r="R80" s="4"/>
      <c r="S80" s="4"/>
    </row>
    <row r="81" spans="1:19" s="10" customFormat="1" ht="24.95" customHeight="1" x14ac:dyDescent="0.25">
      <c r="B81" s="314">
        <v>110000083790</v>
      </c>
      <c r="C81" s="517">
        <v>44895</v>
      </c>
      <c r="D81" s="517">
        <v>45992</v>
      </c>
      <c r="E81" s="527" t="s">
        <v>9</v>
      </c>
      <c r="F81" s="547">
        <f>3*365</f>
        <v>1095</v>
      </c>
      <c r="G81" s="454"/>
      <c r="H81" s="56">
        <f t="shared" si="7"/>
        <v>28630368641.099998</v>
      </c>
      <c r="I81" s="423">
        <v>26146455.379999999</v>
      </c>
      <c r="J81" s="605">
        <v>4.2</v>
      </c>
      <c r="K81" s="347" t="s">
        <v>146</v>
      </c>
      <c r="L81" s="332"/>
      <c r="M81" s="332"/>
      <c r="N81" s="10">
        <f t="shared" si="8"/>
        <v>109815113</v>
      </c>
      <c r="O81" s="4"/>
      <c r="P81" s="4"/>
      <c r="Q81" s="4"/>
      <c r="R81" s="4"/>
      <c r="S81" s="4"/>
    </row>
    <row r="82" spans="1:19" s="8" customFormat="1" ht="24.95" customHeight="1" x14ac:dyDescent="0.25">
      <c r="A82" s="10"/>
      <c r="B82" s="314">
        <v>110000083889</v>
      </c>
      <c r="C82" s="517">
        <v>44895</v>
      </c>
      <c r="D82" s="517">
        <v>45992</v>
      </c>
      <c r="E82" s="527" t="s">
        <v>9</v>
      </c>
      <c r="F82" s="547">
        <f>3*365</f>
        <v>1095</v>
      </c>
      <c r="G82" s="454"/>
      <c r="H82" s="56">
        <f t="shared" si="7"/>
        <v>13553599096.65</v>
      </c>
      <c r="I82" s="423">
        <v>12377716.07</v>
      </c>
      <c r="J82" s="605">
        <v>4.2</v>
      </c>
      <c r="K82" s="296" t="s">
        <v>140</v>
      </c>
      <c r="L82" s="10" t="s">
        <v>62</v>
      </c>
      <c r="M82" s="10"/>
      <c r="N82" s="10">
        <f t="shared" si="8"/>
        <v>51986407</v>
      </c>
      <c r="O82" s="6"/>
      <c r="P82" s="6"/>
      <c r="Q82" s="6"/>
      <c r="R82" s="6"/>
      <c r="S82" s="6"/>
    </row>
    <row r="83" spans="1:19" s="8" customFormat="1" ht="24.95" customHeight="1" x14ac:dyDescent="0.25">
      <c r="A83" s="10"/>
      <c r="B83" s="440">
        <v>110000058590</v>
      </c>
      <c r="C83" s="516" t="s">
        <v>75</v>
      </c>
      <c r="D83" s="516" t="s">
        <v>76</v>
      </c>
      <c r="E83" s="527" t="s">
        <v>47</v>
      </c>
      <c r="F83" s="547">
        <f>8*365</f>
        <v>2920</v>
      </c>
      <c r="G83" s="454"/>
      <c r="H83" s="56">
        <f t="shared" si="7"/>
        <v>202080110866.39999</v>
      </c>
      <c r="I83" s="423">
        <v>69205517.420000002</v>
      </c>
      <c r="J83" s="671">
        <v>3.3</v>
      </c>
      <c r="K83" s="347" t="s">
        <v>146</v>
      </c>
      <c r="L83" s="10" t="s">
        <v>194</v>
      </c>
      <c r="M83" s="10"/>
      <c r="N83" s="10">
        <f t="shared" si="8"/>
        <v>228378207</v>
      </c>
      <c r="O83" s="6"/>
      <c r="P83" s="6"/>
      <c r="Q83" s="6"/>
      <c r="R83" s="6"/>
      <c r="S83" s="6"/>
    </row>
    <row r="84" spans="1:19" s="8" customFormat="1" ht="24.95" customHeight="1" x14ac:dyDescent="0.25">
      <c r="A84" s="10"/>
      <c r="B84" s="440">
        <v>110000092538</v>
      </c>
      <c r="C84" s="516">
        <v>45453</v>
      </c>
      <c r="D84" s="516">
        <v>46183</v>
      </c>
      <c r="E84" s="527" t="s">
        <v>461</v>
      </c>
      <c r="F84" s="547">
        <v>730</v>
      </c>
      <c r="G84" s="454"/>
      <c r="H84" s="56">
        <f t="shared" si="7"/>
        <v>97039052431.300003</v>
      </c>
      <c r="I84" s="423">
        <v>132930208.81</v>
      </c>
      <c r="J84" s="671">
        <v>5.5</v>
      </c>
      <c r="K84" s="348"/>
      <c r="L84" s="10"/>
      <c r="M84" s="10"/>
      <c r="N84" s="10">
        <f t="shared" si="8"/>
        <v>731116148</v>
      </c>
      <c r="O84" s="6"/>
      <c r="P84" s="6"/>
      <c r="Q84" s="6"/>
      <c r="R84" s="6"/>
      <c r="S84" s="6"/>
    </row>
    <row r="85" spans="1:19" s="10" customFormat="1" ht="24.95" customHeight="1" x14ac:dyDescent="0.25">
      <c r="B85" s="314">
        <v>110000084133</v>
      </c>
      <c r="C85" s="516">
        <v>44917</v>
      </c>
      <c r="D85" s="516">
        <v>47840</v>
      </c>
      <c r="E85" s="527" t="s">
        <v>47</v>
      </c>
      <c r="F85" s="547">
        <v>2920</v>
      </c>
      <c r="G85" s="454"/>
      <c r="H85" s="56">
        <f t="shared" si="7"/>
        <v>19348004008.400002</v>
      </c>
      <c r="I85" s="423">
        <v>6626028.7699999996</v>
      </c>
      <c r="J85" s="605">
        <v>5.5</v>
      </c>
      <c r="K85" s="158"/>
      <c r="N85" s="10">
        <f t="shared" si="8"/>
        <v>36443158</v>
      </c>
      <c r="O85" s="4"/>
      <c r="P85" s="4"/>
      <c r="Q85" s="4"/>
      <c r="R85" s="4"/>
      <c r="S85" s="4"/>
    </row>
    <row r="86" spans="1:19" s="17" customFormat="1" ht="24.95" customHeight="1" x14ac:dyDescent="0.25">
      <c r="A86" s="10"/>
      <c r="B86" s="440">
        <v>110000086236</v>
      </c>
      <c r="C86" s="516">
        <v>45030</v>
      </c>
      <c r="D86" s="516">
        <v>48683</v>
      </c>
      <c r="E86" s="527" t="s">
        <v>143</v>
      </c>
      <c r="F86" s="547">
        <f>10*365</f>
        <v>3650</v>
      </c>
      <c r="G86" s="454"/>
      <c r="H86" s="56">
        <f t="shared" si="7"/>
        <v>722638533525.5</v>
      </c>
      <c r="I86" s="423">
        <v>197983159.87</v>
      </c>
      <c r="J86" s="605">
        <v>5.8</v>
      </c>
      <c r="K86" s="10"/>
      <c r="L86" s="10"/>
      <c r="M86" s="10"/>
      <c r="N86" s="10">
        <f t="shared" si="8"/>
        <v>1148302327</v>
      </c>
      <c r="O86" s="27"/>
      <c r="P86" s="27"/>
      <c r="Q86" s="27"/>
      <c r="R86" s="27"/>
      <c r="S86" s="27"/>
    </row>
    <row r="87" spans="1:19" s="344" customFormat="1" ht="24.95" customHeight="1" x14ac:dyDescent="0.25">
      <c r="A87" s="307"/>
      <c r="B87" s="314">
        <v>110000085515</v>
      </c>
      <c r="C87" s="516">
        <v>45030</v>
      </c>
      <c r="D87" s="516">
        <v>48683</v>
      </c>
      <c r="E87" s="527" t="s">
        <v>143</v>
      </c>
      <c r="F87" s="547">
        <v>3650</v>
      </c>
      <c r="G87" s="454"/>
      <c r="H87" s="56">
        <f t="shared" si="7"/>
        <v>513918349433.5</v>
      </c>
      <c r="I87" s="423">
        <f>114583144.1+26216403.69</f>
        <v>140799547.78999999</v>
      </c>
      <c r="J87" s="671">
        <v>5.8</v>
      </c>
      <c r="K87" s="307"/>
      <c r="L87" s="307"/>
      <c r="M87" s="307"/>
      <c r="N87" s="10">
        <f t="shared" si="8"/>
        <v>816637377</v>
      </c>
      <c r="O87" s="346"/>
      <c r="P87" s="346"/>
      <c r="Q87" s="346"/>
      <c r="R87" s="346"/>
      <c r="S87" s="346"/>
    </row>
    <row r="88" spans="1:19" s="8" customFormat="1" ht="24.95" customHeight="1" x14ac:dyDescent="0.25">
      <c r="A88" s="10"/>
      <c r="B88" s="314">
        <v>110000085524</v>
      </c>
      <c r="C88" s="516">
        <v>45030</v>
      </c>
      <c r="D88" s="516">
        <v>48683</v>
      </c>
      <c r="E88" s="527" t="s">
        <v>143</v>
      </c>
      <c r="F88" s="547">
        <v>3650</v>
      </c>
      <c r="G88" s="454"/>
      <c r="H88" s="56">
        <f t="shared" si="7"/>
        <v>212722000000</v>
      </c>
      <c r="I88" s="423">
        <f>29140000+29140000</f>
        <v>58280000</v>
      </c>
      <c r="J88" s="671">
        <v>5.8</v>
      </c>
      <c r="K88" s="348"/>
      <c r="L88" s="10"/>
      <c r="M88" s="10"/>
      <c r="N88" s="10">
        <f t="shared" si="8"/>
        <v>338024000</v>
      </c>
      <c r="O88" s="6"/>
      <c r="P88" s="6"/>
      <c r="Q88" s="6"/>
      <c r="R88" s="6"/>
      <c r="S88" s="6"/>
    </row>
    <row r="89" spans="1:19" s="8" customFormat="1" ht="17.25" customHeight="1" x14ac:dyDescent="0.25">
      <c r="A89" s="10"/>
      <c r="B89" s="314"/>
      <c r="C89" s="516"/>
      <c r="D89" s="516"/>
      <c r="E89" s="497"/>
      <c r="F89" s="547"/>
      <c r="G89" s="454"/>
      <c r="H89" s="511"/>
      <c r="I89" s="423"/>
      <c r="J89" s="354"/>
      <c r="K89" s="348"/>
      <c r="L89" s="10"/>
      <c r="M89" s="10"/>
      <c r="N89" s="10"/>
      <c r="O89" s="6"/>
      <c r="P89" s="6"/>
      <c r="Q89" s="6"/>
      <c r="R89" s="6"/>
      <c r="S89" s="6"/>
    </row>
    <row r="90" spans="1:19" s="8" customFormat="1" ht="24.95" customHeight="1" x14ac:dyDescent="0.25">
      <c r="A90" s="10"/>
      <c r="B90" s="674" t="s">
        <v>398</v>
      </c>
      <c r="C90" s="319"/>
      <c r="D90" s="319"/>
      <c r="E90" s="446"/>
      <c r="F90" s="669">
        <f>+H90/I90</f>
        <v>29</v>
      </c>
      <c r="G90" s="565"/>
      <c r="H90" s="322">
        <f>SUM(H91)</f>
        <v>3233268000</v>
      </c>
      <c r="I90" s="560">
        <f>SUM(I91)</f>
        <v>111492000</v>
      </c>
      <c r="J90" s="675">
        <f>+N90/I90</f>
        <v>4.0999999999999996</v>
      </c>
      <c r="K90" s="348"/>
      <c r="L90" s="10"/>
      <c r="M90" s="10"/>
      <c r="N90" s="191">
        <f>SUM(N91)</f>
        <v>457117200</v>
      </c>
      <c r="O90" s="6"/>
      <c r="P90" s="6"/>
      <c r="Q90" s="6"/>
      <c r="R90" s="6"/>
      <c r="S90" s="6"/>
    </row>
    <row r="91" spans="1:19" s="8" customFormat="1" ht="24.95" customHeight="1" x14ac:dyDescent="0.25">
      <c r="A91" s="10"/>
      <c r="B91" s="558" t="s">
        <v>54</v>
      </c>
      <c r="C91" s="516"/>
      <c r="D91" s="516"/>
      <c r="E91" s="497"/>
      <c r="F91" s="667">
        <f>+H91/I91</f>
        <v>29</v>
      </c>
      <c r="G91" s="562">
        <f>+F91/365</f>
        <v>0.08</v>
      </c>
      <c r="H91" s="426">
        <f>SUM(H92:H94)</f>
        <v>3233268000</v>
      </c>
      <c r="I91" s="533">
        <f>SUM(I92:I94)</f>
        <v>111492000</v>
      </c>
      <c r="J91" s="673">
        <f>+N91/I91</f>
        <v>4.0999999999999996</v>
      </c>
      <c r="K91" s="348"/>
      <c r="L91" s="10"/>
      <c r="M91" s="10"/>
      <c r="N91" s="384">
        <f>SUM(N92:N94)</f>
        <v>457117200</v>
      </c>
      <c r="O91" s="6"/>
      <c r="P91" s="6"/>
      <c r="Q91" s="6"/>
      <c r="R91" s="6"/>
      <c r="S91" s="6"/>
    </row>
    <row r="92" spans="1:19" s="8" customFormat="1" ht="24.95" customHeight="1" x14ac:dyDescent="0.25">
      <c r="A92" s="10"/>
      <c r="B92" s="440">
        <v>150000173169</v>
      </c>
      <c r="C92" s="516">
        <v>45497</v>
      </c>
      <c r="D92" s="516">
        <v>45526</v>
      </c>
      <c r="E92" s="527" t="s">
        <v>395</v>
      </c>
      <c r="F92" s="547">
        <v>29</v>
      </c>
      <c r="G92" s="454"/>
      <c r="H92" s="56">
        <f t="shared" ref="H92:H94" si="9">+F92*I92</f>
        <v>2233000000</v>
      </c>
      <c r="I92" s="423">
        <v>77000000</v>
      </c>
      <c r="J92" s="670">
        <v>4.0999999999999996</v>
      </c>
      <c r="K92" s="348"/>
      <c r="L92" s="10"/>
      <c r="M92" s="10"/>
      <c r="N92" s="10">
        <f t="shared" ref="N92:N94" si="10">+I92*J92</f>
        <v>315700000</v>
      </c>
      <c r="O92" s="6"/>
      <c r="P92" s="6"/>
      <c r="Q92" s="6"/>
      <c r="R92" s="6"/>
      <c r="S92" s="6"/>
    </row>
    <row r="93" spans="1:19" s="8" customFormat="1" ht="24.95" customHeight="1" x14ac:dyDescent="0.25">
      <c r="A93" s="10"/>
      <c r="B93" s="440">
        <v>150000173178</v>
      </c>
      <c r="C93" s="516">
        <v>45497</v>
      </c>
      <c r="D93" s="516">
        <v>45526</v>
      </c>
      <c r="E93" s="527" t="s">
        <v>395</v>
      </c>
      <c r="F93" s="547">
        <v>29</v>
      </c>
      <c r="G93" s="454"/>
      <c r="H93" s="56">
        <f t="shared" si="9"/>
        <v>14268000</v>
      </c>
      <c r="I93" s="423">
        <v>492000</v>
      </c>
      <c r="J93" s="670">
        <v>4.0999999999999996</v>
      </c>
      <c r="K93" s="348"/>
      <c r="L93" s="10"/>
      <c r="M93" s="10"/>
      <c r="N93" s="10">
        <f t="shared" si="10"/>
        <v>2017200</v>
      </c>
      <c r="O93" s="6"/>
      <c r="P93" s="6"/>
      <c r="Q93" s="6"/>
      <c r="R93" s="6"/>
      <c r="S93" s="6"/>
    </row>
    <row r="94" spans="1:19" s="10" customFormat="1" ht="24.95" customHeight="1" x14ac:dyDescent="0.25">
      <c r="A94" s="14"/>
      <c r="B94" s="314">
        <v>150000173187</v>
      </c>
      <c r="C94" s="516">
        <v>45497</v>
      </c>
      <c r="D94" s="516">
        <v>45526</v>
      </c>
      <c r="E94" s="527" t="s">
        <v>395</v>
      </c>
      <c r="F94" s="547">
        <v>29</v>
      </c>
      <c r="G94" s="454"/>
      <c r="H94" s="56">
        <f t="shared" si="9"/>
        <v>986000000</v>
      </c>
      <c r="I94" s="423">
        <v>34000000</v>
      </c>
      <c r="J94" s="670">
        <v>4.0999999999999996</v>
      </c>
      <c r="K94" s="158"/>
      <c r="N94" s="10">
        <f t="shared" si="10"/>
        <v>139400000</v>
      </c>
      <c r="O94" s="4"/>
      <c r="P94" s="4"/>
      <c r="Q94" s="4"/>
      <c r="R94" s="4"/>
      <c r="S94" s="4"/>
    </row>
    <row r="95" spans="1:19" s="10" customFormat="1" ht="17.25" customHeight="1" x14ac:dyDescent="0.25">
      <c r="A95" s="14"/>
      <c r="B95" s="314"/>
      <c r="C95" s="516"/>
      <c r="D95" s="516"/>
      <c r="E95" s="497"/>
      <c r="F95" s="547"/>
      <c r="G95" s="454"/>
      <c r="H95" s="511"/>
      <c r="I95" s="423"/>
      <c r="J95" s="670"/>
      <c r="K95" s="158"/>
      <c r="O95" s="4"/>
      <c r="P95" s="4"/>
      <c r="Q95" s="4"/>
      <c r="R95" s="4"/>
      <c r="S95" s="4"/>
    </row>
    <row r="96" spans="1:19" s="10" customFormat="1" ht="24.95" customHeight="1" x14ac:dyDescent="0.25">
      <c r="B96" s="564" t="s">
        <v>37</v>
      </c>
      <c r="C96" s="318"/>
      <c r="D96" s="318"/>
      <c r="E96" s="446"/>
      <c r="F96" s="669">
        <f>+H96/I96</f>
        <v>2656</v>
      </c>
      <c r="G96" s="565">
        <f>+F96/365</f>
        <v>7.28</v>
      </c>
      <c r="H96" s="322">
        <f>SUM(H97:H129)</f>
        <v>3188835101569.7598</v>
      </c>
      <c r="I96" s="560">
        <f>SUM(I97:I129)</f>
        <v>1200716757.73</v>
      </c>
      <c r="J96" s="672">
        <f>+N96/I96</f>
        <v>4.97</v>
      </c>
      <c r="K96" s="296" t="s">
        <v>140</v>
      </c>
      <c r="N96" s="32">
        <f>SUM(N97:N129)</f>
        <v>5967692122</v>
      </c>
      <c r="O96" s="4"/>
      <c r="P96" s="4"/>
      <c r="Q96" s="4"/>
      <c r="R96" s="4"/>
      <c r="S96" s="4"/>
    </row>
    <row r="97" spans="1:19" s="10" customFormat="1" ht="24.95" customHeight="1" x14ac:dyDescent="0.25">
      <c r="B97" s="440" t="s">
        <v>528</v>
      </c>
      <c r="C97" s="517">
        <v>45485</v>
      </c>
      <c r="D97" s="517">
        <v>45513</v>
      </c>
      <c r="E97" s="527" t="s">
        <v>431</v>
      </c>
      <c r="F97" s="547">
        <v>28</v>
      </c>
      <c r="G97" s="454"/>
      <c r="H97" s="56">
        <f t="shared" ref="H97:H129" si="11">+F97*I97</f>
        <v>840000000</v>
      </c>
      <c r="I97" s="423">
        <v>30000000</v>
      </c>
      <c r="J97" s="584">
        <v>4.1900000000000004</v>
      </c>
      <c r="K97" s="296"/>
      <c r="N97" s="10">
        <f t="shared" ref="N97:N129" si="12">+I97*J97</f>
        <v>125700000</v>
      </c>
      <c r="O97" s="4"/>
      <c r="P97" s="4"/>
      <c r="Q97" s="4"/>
      <c r="R97" s="4"/>
      <c r="S97" s="4"/>
    </row>
    <row r="98" spans="1:19" s="17" customFormat="1" ht="24.95" customHeight="1" x14ac:dyDescent="0.25">
      <c r="B98" s="440" t="s">
        <v>88</v>
      </c>
      <c r="C98" s="517">
        <v>43318</v>
      </c>
      <c r="D98" s="517">
        <v>45509</v>
      </c>
      <c r="E98" s="527" t="s">
        <v>16</v>
      </c>
      <c r="F98" s="547">
        <f>6*365</f>
        <v>2190</v>
      </c>
      <c r="G98" s="454"/>
      <c r="H98" s="56">
        <f t="shared" si="11"/>
        <v>78840000000</v>
      </c>
      <c r="I98" s="423">
        <v>36000000</v>
      </c>
      <c r="J98" s="584">
        <v>4.88</v>
      </c>
      <c r="K98" s="296" t="s">
        <v>140</v>
      </c>
      <c r="L98" s="10" t="s">
        <v>89</v>
      </c>
      <c r="M98" s="10"/>
      <c r="N98" s="10">
        <f t="shared" si="12"/>
        <v>175680000</v>
      </c>
      <c r="O98" s="27"/>
      <c r="P98" s="27"/>
      <c r="Q98" s="27"/>
      <c r="R98" s="27"/>
    </row>
    <row r="99" spans="1:19" s="8" customFormat="1" ht="24.95" customHeight="1" x14ac:dyDescent="0.25">
      <c r="A99" s="10"/>
      <c r="B99" s="440" t="s">
        <v>91</v>
      </c>
      <c r="C99" s="517">
        <v>43340</v>
      </c>
      <c r="D99" s="516">
        <v>45530</v>
      </c>
      <c r="E99" s="527" t="s">
        <v>16</v>
      </c>
      <c r="F99" s="547">
        <v>2190</v>
      </c>
      <c r="G99" s="454"/>
      <c r="H99" s="56">
        <f t="shared" si="11"/>
        <v>24026640387.299999</v>
      </c>
      <c r="I99" s="423">
        <v>10971068.67</v>
      </c>
      <c r="J99" s="584">
        <v>4.88</v>
      </c>
      <c r="K99" s="296" t="s">
        <v>140</v>
      </c>
      <c r="L99" s="10"/>
      <c r="M99" s="10"/>
      <c r="N99" s="10">
        <f t="shared" si="12"/>
        <v>53538815</v>
      </c>
      <c r="O99" s="6"/>
      <c r="P99" s="6"/>
      <c r="Q99" s="6"/>
      <c r="R99" s="6"/>
      <c r="S99" s="6"/>
    </row>
    <row r="100" spans="1:19" s="8" customFormat="1" ht="24.95" customHeight="1" x14ac:dyDescent="0.25">
      <c r="A100" s="10"/>
      <c r="B100" s="440" t="s">
        <v>66</v>
      </c>
      <c r="C100" s="517">
        <v>43017</v>
      </c>
      <c r="D100" s="516">
        <v>45574</v>
      </c>
      <c r="E100" s="527" t="s">
        <v>5</v>
      </c>
      <c r="F100" s="547">
        <f>7*365</f>
        <v>2555</v>
      </c>
      <c r="G100" s="454"/>
      <c r="H100" s="56">
        <f t="shared" si="11"/>
        <v>40277488229.300003</v>
      </c>
      <c r="I100" s="423">
        <v>15764183.26</v>
      </c>
      <c r="J100" s="584">
        <v>4.5</v>
      </c>
      <c r="K100" s="296" t="s">
        <v>140</v>
      </c>
      <c r="L100" s="10" t="s">
        <v>120</v>
      </c>
      <c r="M100" s="10"/>
      <c r="N100" s="10">
        <f t="shared" si="12"/>
        <v>70938825</v>
      </c>
      <c r="O100" s="6"/>
      <c r="P100" s="6"/>
      <c r="Q100" s="6"/>
      <c r="R100" s="6"/>
      <c r="S100" s="6"/>
    </row>
    <row r="101" spans="1:19" s="8" customFormat="1" ht="24.95" customHeight="1" x14ac:dyDescent="0.25">
      <c r="A101" s="10"/>
      <c r="B101" s="440" t="s">
        <v>121</v>
      </c>
      <c r="C101" s="517">
        <v>43815</v>
      </c>
      <c r="D101" s="516">
        <v>45642</v>
      </c>
      <c r="E101" s="527" t="s">
        <v>6</v>
      </c>
      <c r="F101" s="547">
        <f>5*365</f>
        <v>1825</v>
      </c>
      <c r="G101" s="454"/>
      <c r="H101" s="56">
        <f t="shared" si="11"/>
        <v>40413244606.5</v>
      </c>
      <c r="I101" s="423">
        <v>22144243.620000001</v>
      </c>
      <c r="J101" s="584">
        <v>4</v>
      </c>
      <c r="K101" s="296" t="s">
        <v>140</v>
      </c>
      <c r="L101" s="10"/>
      <c r="M101" s="10"/>
      <c r="N101" s="10">
        <f t="shared" si="12"/>
        <v>88576974</v>
      </c>
      <c r="O101" s="6"/>
      <c r="P101" s="6"/>
      <c r="Q101" s="6"/>
      <c r="R101" s="6"/>
      <c r="S101" s="6"/>
    </row>
    <row r="102" spans="1:19" s="8" customFormat="1" ht="24.95" customHeight="1" x14ac:dyDescent="0.25">
      <c r="A102" s="10"/>
      <c r="B102" s="440" t="s">
        <v>112</v>
      </c>
      <c r="C102" s="517">
        <v>43511</v>
      </c>
      <c r="D102" s="516">
        <v>45702</v>
      </c>
      <c r="E102" s="527" t="s">
        <v>16</v>
      </c>
      <c r="F102" s="547">
        <v>2190</v>
      </c>
      <c r="G102" s="454"/>
      <c r="H102" s="56">
        <f t="shared" si="11"/>
        <v>2587951316.6999998</v>
      </c>
      <c r="I102" s="423">
        <v>1181712.93</v>
      </c>
      <c r="J102" s="584">
        <v>5</v>
      </c>
      <c r="K102" s="296" t="s">
        <v>140</v>
      </c>
      <c r="L102" s="10"/>
      <c r="M102" s="10"/>
      <c r="N102" s="10">
        <f t="shared" si="12"/>
        <v>5908565</v>
      </c>
      <c r="O102" s="6"/>
      <c r="P102" s="6"/>
      <c r="Q102" s="6"/>
      <c r="R102" s="6"/>
      <c r="S102" s="6"/>
    </row>
    <row r="103" spans="1:19" s="17" customFormat="1" ht="24.95" customHeight="1" x14ac:dyDescent="0.25">
      <c r="B103" s="440" t="s">
        <v>95</v>
      </c>
      <c r="C103" s="517">
        <v>43403</v>
      </c>
      <c r="D103" s="516">
        <v>45960</v>
      </c>
      <c r="E103" s="527" t="s">
        <v>5</v>
      </c>
      <c r="F103" s="547">
        <v>2555</v>
      </c>
      <c r="G103" s="454"/>
      <c r="H103" s="56">
        <f t="shared" si="11"/>
        <v>85447228934.199997</v>
      </c>
      <c r="I103" s="423">
        <v>33443142.440000001</v>
      </c>
      <c r="J103" s="584">
        <v>5</v>
      </c>
      <c r="K103" s="296" t="s">
        <v>140</v>
      </c>
      <c r="L103" s="10"/>
      <c r="M103" s="10"/>
      <c r="N103" s="10">
        <f t="shared" si="12"/>
        <v>167215712</v>
      </c>
      <c r="O103" s="27"/>
      <c r="P103" s="27"/>
      <c r="Q103" s="27"/>
      <c r="R103" s="27"/>
      <c r="S103" s="27"/>
    </row>
    <row r="104" spans="1:19" s="17" customFormat="1" ht="24.95" customHeight="1" x14ac:dyDescent="0.25">
      <c r="B104" s="665" t="s">
        <v>100</v>
      </c>
      <c r="C104" s="517">
        <v>43434</v>
      </c>
      <c r="D104" s="517">
        <v>45988</v>
      </c>
      <c r="E104" s="527" t="s">
        <v>5</v>
      </c>
      <c r="F104" s="547">
        <v>2555</v>
      </c>
      <c r="G104" s="454"/>
      <c r="H104" s="56">
        <f t="shared" si="11"/>
        <v>90574750000</v>
      </c>
      <c r="I104" s="423">
        <v>35450000</v>
      </c>
      <c r="J104" s="584">
        <v>5.13</v>
      </c>
      <c r="K104" s="296" t="s">
        <v>140</v>
      </c>
      <c r="L104" s="10" t="s">
        <v>120</v>
      </c>
      <c r="M104" s="10"/>
      <c r="N104" s="10">
        <f t="shared" si="12"/>
        <v>181858500</v>
      </c>
      <c r="O104" s="27"/>
      <c r="P104" s="27"/>
      <c r="Q104" s="27"/>
      <c r="R104" s="27"/>
      <c r="S104" s="27"/>
    </row>
    <row r="105" spans="1:19" s="17" customFormat="1" ht="24.95" customHeight="1" x14ac:dyDescent="0.25">
      <c r="B105" s="440" t="s">
        <v>123</v>
      </c>
      <c r="C105" s="517">
        <v>43815</v>
      </c>
      <c r="D105" s="516">
        <v>46006</v>
      </c>
      <c r="E105" s="527" t="s">
        <v>16</v>
      </c>
      <c r="F105" s="547">
        <v>2190</v>
      </c>
      <c r="G105" s="454"/>
      <c r="H105" s="56">
        <f t="shared" si="11"/>
        <v>54750000000</v>
      </c>
      <c r="I105" s="423">
        <v>25000000</v>
      </c>
      <c r="J105" s="584">
        <v>4.13</v>
      </c>
      <c r="K105" s="296" t="s">
        <v>140</v>
      </c>
      <c r="L105" s="121" t="s">
        <v>104</v>
      </c>
      <c r="M105" s="121"/>
      <c r="N105" s="10">
        <f t="shared" si="12"/>
        <v>103250000</v>
      </c>
      <c r="O105" s="27"/>
      <c r="P105" s="27"/>
      <c r="Q105" s="27"/>
      <c r="R105" s="27"/>
      <c r="S105" s="27"/>
    </row>
    <row r="106" spans="1:19" s="17" customFormat="1" ht="24.95" customHeight="1" x14ac:dyDescent="0.25">
      <c r="B106" s="440" t="s">
        <v>105</v>
      </c>
      <c r="C106" s="517">
        <v>43452</v>
      </c>
      <c r="D106" s="517">
        <v>46007</v>
      </c>
      <c r="E106" s="527" t="s">
        <v>5</v>
      </c>
      <c r="F106" s="547">
        <v>2555</v>
      </c>
      <c r="G106" s="454"/>
      <c r="H106" s="56">
        <f t="shared" si="11"/>
        <v>31654309932</v>
      </c>
      <c r="I106" s="423">
        <v>12389162.4</v>
      </c>
      <c r="J106" s="584">
        <v>5.13</v>
      </c>
      <c r="K106" s="296" t="s">
        <v>140</v>
      </c>
      <c r="L106" s="10"/>
      <c r="M106" s="10"/>
      <c r="N106" s="10">
        <f t="shared" si="12"/>
        <v>63556403</v>
      </c>
      <c r="O106" s="27"/>
      <c r="P106" s="27"/>
      <c r="Q106" s="27"/>
      <c r="R106" s="27"/>
      <c r="S106" s="27"/>
    </row>
    <row r="107" spans="1:19" s="17" customFormat="1" ht="24.95" customHeight="1" x14ac:dyDescent="0.25">
      <c r="B107" s="440" t="s">
        <v>132</v>
      </c>
      <c r="C107" s="517">
        <v>44075</v>
      </c>
      <c r="D107" s="516">
        <v>46264</v>
      </c>
      <c r="E107" s="527" t="s">
        <v>16</v>
      </c>
      <c r="F107" s="547">
        <v>2190</v>
      </c>
      <c r="G107" s="454"/>
      <c r="H107" s="56">
        <f t="shared" si="11"/>
        <v>109500000000</v>
      </c>
      <c r="I107" s="423">
        <v>50000000</v>
      </c>
      <c r="J107" s="584">
        <v>3.5</v>
      </c>
      <c r="K107" s="296" t="s">
        <v>140</v>
      </c>
      <c r="L107" s="10" t="s">
        <v>120</v>
      </c>
      <c r="M107" s="10"/>
      <c r="N107" s="10">
        <f t="shared" si="12"/>
        <v>175000000</v>
      </c>
      <c r="O107" s="27"/>
      <c r="P107" s="27"/>
      <c r="Q107" s="27"/>
      <c r="R107" s="27"/>
      <c r="S107" s="27"/>
    </row>
    <row r="108" spans="1:19" s="17" customFormat="1" ht="24.95" customHeight="1" x14ac:dyDescent="0.25">
      <c r="B108" s="440" t="s">
        <v>126</v>
      </c>
      <c r="C108" s="517">
        <v>43815</v>
      </c>
      <c r="D108" s="516">
        <v>46370</v>
      </c>
      <c r="E108" s="527" t="s">
        <v>5</v>
      </c>
      <c r="F108" s="547">
        <f>7*365</f>
        <v>2555</v>
      </c>
      <c r="G108" s="454"/>
      <c r="H108" s="56">
        <f t="shared" si="11"/>
        <v>52073901332.949997</v>
      </c>
      <c r="I108" s="423">
        <v>20381174.690000001</v>
      </c>
      <c r="J108" s="584">
        <v>4.25</v>
      </c>
      <c r="K108" s="296" t="s">
        <v>140</v>
      </c>
      <c r="L108" s="10" t="s">
        <v>138</v>
      </c>
      <c r="M108" s="10"/>
      <c r="N108" s="10">
        <f t="shared" si="12"/>
        <v>86619992</v>
      </c>
      <c r="O108" s="27"/>
      <c r="P108" s="27"/>
      <c r="Q108" s="27"/>
      <c r="R108" s="27"/>
      <c r="S108" s="27"/>
    </row>
    <row r="109" spans="1:19" s="17" customFormat="1" ht="24.95" customHeight="1" x14ac:dyDescent="0.25">
      <c r="B109" s="440" t="s">
        <v>137</v>
      </c>
      <c r="C109" s="517">
        <v>44179</v>
      </c>
      <c r="D109" s="516">
        <v>46370</v>
      </c>
      <c r="E109" s="527" t="s">
        <v>16</v>
      </c>
      <c r="F109" s="547">
        <f>6*365</f>
        <v>2190</v>
      </c>
      <c r="G109" s="454"/>
      <c r="H109" s="56">
        <f t="shared" si="11"/>
        <v>109500000000</v>
      </c>
      <c r="I109" s="423">
        <v>50000000</v>
      </c>
      <c r="J109" s="584">
        <v>3</v>
      </c>
      <c r="K109" s="296" t="s">
        <v>140</v>
      </c>
      <c r="L109" s="10"/>
      <c r="M109" s="10"/>
      <c r="N109" s="10">
        <f t="shared" si="12"/>
        <v>150000000</v>
      </c>
      <c r="O109" s="27"/>
      <c r="P109" s="27"/>
      <c r="Q109" s="27"/>
      <c r="R109" s="27"/>
      <c r="S109" s="27"/>
    </row>
    <row r="110" spans="1:19" s="17" customFormat="1" ht="24.95" customHeight="1" x14ac:dyDescent="0.25">
      <c r="B110" s="440" t="s">
        <v>133</v>
      </c>
      <c r="C110" s="517">
        <v>44075</v>
      </c>
      <c r="D110" s="516">
        <v>46629</v>
      </c>
      <c r="E110" s="527" t="s">
        <v>5</v>
      </c>
      <c r="F110" s="547">
        <v>2555</v>
      </c>
      <c r="G110" s="454"/>
      <c r="H110" s="56">
        <f t="shared" si="11"/>
        <v>63558267943.099998</v>
      </c>
      <c r="I110" s="423">
        <v>24876034.420000002</v>
      </c>
      <c r="J110" s="584">
        <v>3.53</v>
      </c>
      <c r="K110" s="296"/>
      <c r="L110" s="10"/>
      <c r="M110" s="10"/>
      <c r="N110" s="10">
        <f t="shared" si="12"/>
        <v>87812402</v>
      </c>
      <c r="O110" s="27"/>
      <c r="P110" s="27"/>
      <c r="Q110" s="27"/>
      <c r="R110" s="27"/>
      <c r="S110" s="27"/>
    </row>
    <row r="111" spans="1:19" s="344" customFormat="1" ht="24.95" customHeight="1" x14ac:dyDescent="0.25">
      <c r="B111" s="440" t="s">
        <v>220</v>
      </c>
      <c r="C111" s="517">
        <v>44995</v>
      </c>
      <c r="D111" s="516">
        <v>46820</v>
      </c>
      <c r="E111" s="527" t="s">
        <v>6</v>
      </c>
      <c r="F111" s="547">
        <f>5*365</f>
        <v>1825</v>
      </c>
      <c r="G111" s="454"/>
      <c r="H111" s="56">
        <f t="shared" si="11"/>
        <v>3381292858.25</v>
      </c>
      <c r="I111" s="423">
        <v>1852763.21</v>
      </c>
      <c r="J111" s="584">
        <v>5.15</v>
      </c>
      <c r="K111" s="296" t="s">
        <v>146</v>
      </c>
      <c r="L111" s="307"/>
      <c r="M111" s="307"/>
      <c r="N111" s="10">
        <f t="shared" si="12"/>
        <v>9541731</v>
      </c>
      <c r="O111" s="346"/>
      <c r="P111" s="346"/>
      <c r="Q111" s="346"/>
      <c r="R111" s="346"/>
      <c r="S111" s="346"/>
    </row>
    <row r="112" spans="1:19" s="344" customFormat="1" ht="24.95" customHeight="1" x14ac:dyDescent="0.25">
      <c r="B112" s="440" t="s">
        <v>558</v>
      </c>
      <c r="C112" s="517">
        <v>45496</v>
      </c>
      <c r="D112" s="516">
        <v>46956</v>
      </c>
      <c r="E112" s="527" t="s">
        <v>546</v>
      </c>
      <c r="F112" s="547">
        <v>1460</v>
      </c>
      <c r="G112" s="454"/>
      <c r="H112" s="56">
        <f t="shared" si="11"/>
        <v>26211399564</v>
      </c>
      <c r="I112" s="423">
        <v>17953013.399999999</v>
      </c>
      <c r="J112" s="584">
        <v>5.75</v>
      </c>
      <c r="K112" s="296"/>
      <c r="L112" s="307"/>
      <c r="M112" s="307"/>
      <c r="N112" s="10">
        <f t="shared" si="12"/>
        <v>103229827</v>
      </c>
      <c r="O112" s="346"/>
      <c r="P112" s="346"/>
      <c r="Q112" s="346"/>
      <c r="R112" s="346"/>
      <c r="S112" s="346"/>
    </row>
    <row r="113" spans="2:19" s="17" customFormat="1" ht="24.95" customHeight="1" x14ac:dyDescent="0.25">
      <c r="B113" s="440" t="s">
        <v>163</v>
      </c>
      <c r="C113" s="517">
        <v>44799</v>
      </c>
      <c r="D113" s="516">
        <v>46989</v>
      </c>
      <c r="E113" s="527" t="s">
        <v>16</v>
      </c>
      <c r="F113" s="547">
        <v>2190</v>
      </c>
      <c r="G113" s="454"/>
      <c r="H113" s="56">
        <f t="shared" si="11"/>
        <v>50008650000</v>
      </c>
      <c r="I113" s="423">
        <v>22835000</v>
      </c>
      <c r="J113" s="584">
        <v>4.13</v>
      </c>
      <c r="K113" s="296" t="s">
        <v>146</v>
      </c>
      <c r="L113" s="10"/>
      <c r="M113" s="10"/>
      <c r="N113" s="10">
        <f t="shared" si="12"/>
        <v>94308550</v>
      </c>
      <c r="O113" s="27"/>
      <c r="P113" s="27"/>
      <c r="Q113" s="27"/>
      <c r="R113" s="27"/>
      <c r="S113" s="27"/>
    </row>
    <row r="114" spans="2:19" s="344" customFormat="1" ht="24.95" customHeight="1" x14ac:dyDescent="0.25">
      <c r="B114" s="440" t="s">
        <v>161</v>
      </c>
      <c r="C114" s="517">
        <v>44726</v>
      </c>
      <c r="D114" s="516">
        <v>47281</v>
      </c>
      <c r="E114" s="527" t="s">
        <v>5</v>
      </c>
      <c r="F114" s="547">
        <v>2555</v>
      </c>
      <c r="G114" s="454"/>
      <c r="H114" s="56">
        <f t="shared" si="11"/>
        <v>74095000000</v>
      </c>
      <c r="I114" s="423">
        <v>29000000</v>
      </c>
      <c r="J114" s="584">
        <v>3.95</v>
      </c>
      <c r="K114" s="296" t="s">
        <v>146</v>
      </c>
      <c r="L114" s="345"/>
      <c r="M114" s="345"/>
      <c r="N114" s="10">
        <f t="shared" si="12"/>
        <v>114550000</v>
      </c>
      <c r="O114" s="346"/>
      <c r="P114" s="346"/>
      <c r="Q114" s="346"/>
      <c r="R114" s="346"/>
      <c r="S114" s="346"/>
    </row>
    <row r="115" spans="2:19" s="344" customFormat="1" ht="24.95" customHeight="1" x14ac:dyDescent="0.25">
      <c r="B115" s="440" t="s">
        <v>542</v>
      </c>
      <c r="C115" s="517">
        <v>45496</v>
      </c>
      <c r="D115" s="516">
        <v>47686</v>
      </c>
      <c r="E115" s="527" t="s">
        <v>543</v>
      </c>
      <c r="F115" s="547">
        <v>2190</v>
      </c>
      <c r="G115" s="454"/>
      <c r="H115" s="56">
        <f t="shared" si="11"/>
        <v>328500000000</v>
      </c>
      <c r="I115" s="423">
        <v>150000000</v>
      </c>
      <c r="J115" s="584">
        <v>5.88</v>
      </c>
      <c r="K115" s="296"/>
      <c r="L115" s="345"/>
      <c r="M115" s="345"/>
      <c r="N115" s="10">
        <f t="shared" si="12"/>
        <v>882000000</v>
      </c>
      <c r="O115" s="346"/>
      <c r="P115" s="346"/>
      <c r="Q115" s="346"/>
      <c r="R115" s="346"/>
      <c r="S115" s="346"/>
    </row>
    <row r="116" spans="2:19" s="344" customFormat="1" ht="24.95" customHeight="1" x14ac:dyDescent="0.25">
      <c r="B116" s="440" t="s">
        <v>165</v>
      </c>
      <c r="C116" s="517">
        <v>44799</v>
      </c>
      <c r="D116" s="517">
        <v>47354</v>
      </c>
      <c r="E116" s="527" t="s">
        <v>5</v>
      </c>
      <c r="F116" s="547">
        <v>2555</v>
      </c>
      <c r="G116" s="454"/>
      <c r="H116" s="56">
        <f t="shared" si="11"/>
        <v>122218425000</v>
      </c>
      <c r="I116" s="423">
        <v>47835000</v>
      </c>
      <c r="J116" s="584">
        <v>4.25</v>
      </c>
      <c r="K116" s="296" t="s">
        <v>146</v>
      </c>
      <c r="L116" s="307"/>
      <c r="M116" s="307"/>
      <c r="N116" s="10">
        <f t="shared" si="12"/>
        <v>203298750</v>
      </c>
      <c r="O116" s="346"/>
      <c r="P116" s="346"/>
      <c r="Q116" s="346"/>
      <c r="R116" s="346"/>
      <c r="S116" s="346"/>
    </row>
    <row r="117" spans="2:19" s="10" customFormat="1" ht="24.95" customHeight="1" x14ac:dyDescent="0.25">
      <c r="B117" s="440" t="s">
        <v>166</v>
      </c>
      <c r="C117" s="517">
        <v>44799</v>
      </c>
      <c r="D117" s="516">
        <v>47721</v>
      </c>
      <c r="E117" s="527" t="s">
        <v>47</v>
      </c>
      <c r="F117" s="547">
        <f>8*365</f>
        <v>2920</v>
      </c>
      <c r="G117" s="454"/>
      <c r="H117" s="56">
        <f t="shared" si="11"/>
        <v>139686178520.39999</v>
      </c>
      <c r="I117" s="423">
        <v>47837732.369999997</v>
      </c>
      <c r="J117" s="584">
        <v>4.5</v>
      </c>
      <c r="K117" s="347" t="s">
        <v>146</v>
      </c>
      <c r="N117" s="10">
        <f t="shared" si="12"/>
        <v>215269796</v>
      </c>
      <c r="O117" s="4"/>
      <c r="P117" s="4"/>
      <c r="Q117" s="4"/>
      <c r="R117" s="4"/>
      <c r="S117" s="4"/>
    </row>
    <row r="118" spans="2:19" s="17" customFormat="1" ht="24.95" customHeight="1" x14ac:dyDescent="0.25">
      <c r="B118" s="440" t="s">
        <v>173</v>
      </c>
      <c r="C118" s="517">
        <v>44834</v>
      </c>
      <c r="D118" s="517">
        <v>47756</v>
      </c>
      <c r="E118" s="527" t="s">
        <v>47</v>
      </c>
      <c r="F118" s="547">
        <v>2920</v>
      </c>
      <c r="G118" s="454"/>
      <c r="H118" s="56">
        <f t="shared" si="11"/>
        <v>8573412000</v>
      </c>
      <c r="I118" s="423">
        <v>2936100</v>
      </c>
      <c r="J118" s="670">
        <v>4.13</v>
      </c>
      <c r="K118" s="296" t="s">
        <v>146</v>
      </c>
      <c r="L118" s="10"/>
      <c r="M118" s="10"/>
      <c r="N118" s="10">
        <f t="shared" si="12"/>
        <v>12126093</v>
      </c>
      <c r="O118" s="27"/>
      <c r="P118" s="27"/>
      <c r="Q118" s="27"/>
      <c r="R118" s="27"/>
      <c r="S118" s="27"/>
    </row>
    <row r="119" spans="2:19" s="17" customFormat="1" ht="24.95" customHeight="1" x14ac:dyDescent="0.25">
      <c r="B119" s="440" t="s">
        <v>142</v>
      </c>
      <c r="C119" s="517">
        <v>44260</v>
      </c>
      <c r="D119" s="516">
        <v>47912</v>
      </c>
      <c r="E119" s="527" t="s">
        <v>143</v>
      </c>
      <c r="F119" s="547">
        <f>10*365</f>
        <v>3650</v>
      </c>
      <c r="G119" s="454"/>
      <c r="H119" s="56">
        <f t="shared" si="11"/>
        <v>91250000000</v>
      </c>
      <c r="I119" s="423">
        <v>25000000</v>
      </c>
      <c r="J119" s="584">
        <v>3.13</v>
      </c>
      <c r="K119" s="296"/>
      <c r="L119" s="10"/>
      <c r="M119" s="10"/>
      <c r="N119" s="10">
        <f t="shared" si="12"/>
        <v>78250000</v>
      </c>
      <c r="O119" s="27"/>
      <c r="P119" s="27"/>
      <c r="Q119" s="27"/>
      <c r="R119" s="27"/>
      <c r="S119" s="27"/>
    </row>
    <row r="120" spans="2:19" s="17" customFormat="1" ht="24.95" customHeight="1" x14ac:dyDescent="0.25">
      <c r="B120" s="440" t="s">
        <v>222</v>
      </c>
      <c r="C120" s="517">
        <v>44995</v>
      </c>
      <c r="D120" s="516">
        <v>47914</v>
      </c>
      <c r="E120" s="527" t="s">
        <v>47</v>
      </c>
      <c r="F120" s="547">
        <v>2920</v>
      </c>
      <c r="G120" s="454"/>
      <c r="H120" s="56">
        <f t="shared" si="11"/>
        <v>292000000000</v>
      </c>
      <c r="I120" s="423">
        <v>100000000</v>
      </c>
      <c r="J120" s="584">
        <v>5.55</v>
      </c>
      <c r="K120" s="296"/>
      <c r="L120" s="10"/>
      <c r="M120" s="10"/>
      <c r="N120" s="10">
        <f t="shared" si="12"/>
        <v>555000000</v>
      </c>
      <c r="O120" s="27"/>
      <c r="P120" s="27"/>
      <c r="Q120" s="27"/>
      <c r="R120" s="27"/>
      <c r="S120" s="27"/>
    </row>
    <row r="121" spans="2:19" s="17" customFormat="1" ht="24.95" customHeight="1" x14ac:dyDescent="0.25">
      <c r="B121" s="440" t="s">
        <v>224</v>
      </c>
      <c r="C121" s="517">
        <v>44995</v>
      </c>
      <c r="D121" s="517">
        <v>47922</v>
      </c>
      <c r="E121" s="527" t="s">
        <v>47</v>
      </c>
      <c r="F121" s="547">
        <v>2920</v>
      </c>
      <c r="G121" s="454"/>
      <c r="H121" s="56">
        <f t="shared" si="11"/>
        <v>44106280376.800003</v>
      </c>
      <c r="I121" s="423">
        <v>15104890.539999999</v>
      </c>
      <c r="J121" s="584">
        <v>5.55</v>
      </c>
      <c r="K121" s="296" t="s">
        <v>146</v>
      </c>
      <c r="L121" s="137" t="s">
        <v>159</v>
      </c>
      <c r="M121" s="10"/>
      <c r="N121" s="10">
        <f t="shared" si="12"/>
        <v>83832142</v>
      </c>
      <c r="O121" s="27"/>
      <c r="P121" s="27"/>
      <c r="Q121" s="27"/>
      <c r="R121" s="27"/>
      <c r="S121" s="27"/>
    </row>
    <row r="122" spans="2:19" s="17" customFormat="1" ht="24.95" customHeight="1" x14ac:dyDescent="0.25">
      <c r="B122" s="440" t="s">
        <v>155</v>
      </c>
      <c r="C122" s="517">
        <v>44676</v>
      </c>
      <c r="D122" s="516">
        <v>47961</v>
      </c>
      <c r="E122" s="527" t="s">
        <v>144</v>
      </c>
      <c r="F122" s="547">
        <f>9*365</f>
        <v>3285</v>
      </c>
      <c r="G122" s="454"/>
      <c r="H122" s="56">
        <f t="shared" si="11"/>
        <v>37777500000</v>
      </c>
      <c r="I122" s="423">
        <v>11500000</v>
      </c>
      <c r="J122" s="584">
        <v>3.38</v>
      </c>
      <c r="K122" s="296" t="s">
        <v>310</v>
      </c>
      <c r="L122" s="137"/>
      <c r="M122" s="10"/>
      <c r="N122" s="10">
        <f t="shared" si="12"/>
        <v>38870000</v>
      </c>
      <c r="O122" s="27"/>
      <c r="P122" s="27"/>
      <c r="Q122" s="27"/>
      <c r="R122" s="27"/>
      <c r="S122" s="27"/>
    </row>
    <row r="123" spans="2:19" s="17" customFormat="1" ht="24.95" customHeight="1" x14ac:dyDescent="0.25">
      <c r="B123" s="440" t="s">
        <v>309</v>
      </c>
      <c r="C123" s="517">
        <v>45016</v>
      </c>
      <c r="D123" s="516">
        <v>48302</v>
      </c>
      <c r="E123" s="527" t="s">
        <v>144</v>
      </c>
      <c r="F123" s="547">
        <v>3285</v>
      </c>
      <c r="G123" s="454"/>
      <c r="H123" s="56">
        <f t="shared" si="11"/>
        <v>328500000000</v>
      </c>
      <c r="I123" s="423">
        <v>100000000</v>
      </c>
      <c r="J123" s="584">
        <v>5.63</v>
      </c>
      <c r="K123" s="296"/>
      <c r="L123" s="137"/>
      <c r="M123" s="10"/>
      <c r="N123" s="10">
        <f t="shared" si="12"/>
        <v>563000000</v>
      </c>
      <c r="O123" s="27"/>
      <c r="P123" s="27"/>
      <c r="Q123" s="27"/>
      <c r="R123" s="27"/>
      <c r="S123" s="27"/>
    </row>
    <row r="124" spans="2:19" s="17" customFormat="1" ht="24.95" customHeight="1" x14ac:dyDescent="0.25">
      <c r="B124" s="440" t="s">
        <v>311</v>
      </c>
      <c r="C124" s="517">
        <v>45016</v>
      </c>
      <c r="D124" s="516">
        <v>48302</v>
      </c>
      <c r="E124" s="527" t="s">
        <v>144</v>
      </c>
      <c r="F124" s="547">
        <v>3285</v>
      </c>
      <c r="G124" s="454"/>
      <c r="H124" s="56">
        <f t="shared" si="11"/>
        <v>180255667976.10001</v>
      </c>
      <c r="I124" s="423">
        <v>54872349.460000001</v>
      </c>
      <c r="J124" s="584">
        <v>5.63</v>
      </c>
      <c r="K124" s="296"/>
      <c r="L124" s="137"/>
      <c r="M124" s="10"/>
      <c r="N124" s="10">
        <f t="shared" si="12"/>
        <v>308931327</v>
      </c>
      <c r="O124" s="27"/>
      <c r="P124" s="27"/>
      <c r="Q124" s="27"/>
      <c r="R124" s="27"/>
      <c r="S124" s="27"/>
    </row>
    <row r="125" spans="2:19" s="17" customFormat="1" ht="24.95" customHeight="1" x14ac:dyDescent="0.25">
      <c r="B125" s="440" t="s">
        <v>156</v>
      </c>
      <c r="C125" s="517">
        <v>44676</v>
      </c>
      <c r="D125" s="516">
        <v>48326</v>
      </c>
      <c r="E125" s="527" t="s">
        <v>143</v>
      </c>
      <c r="F125" s="547">
        <v>3285</v>
      </c>
      <c r="G125" s="454"/>
      <c r="H125" s="56">
        <f t="shared" si="11"/>
        <v>65700000000</v>
      </c>
      <c r="I125" s="423">
        <v>20000000</v>
      </c>
      <c r="J125" s="584">
        <v>3.5</v>
      </c>
      <c r="K125" s="296" t="s">
        <v>146</v>
      </c>
      <c r="L125" s="137" t="s">
        <v>159</v>
      </c>
      <c r="M125" s="10"/>
      <c r="N125" s="10">
        <f t="shared" si="12"/>
        <v>70000000</v>
      </c>
      <c r="O125" s="27"/>
      <c r="P125" s="27"/>
      <c r="Q125" s="27"/>
      <c r="R125" s="27"/>
      <c r="S125" s="27"/>
    </row>
    <row r="126" spans="2:19" s="10" customFormat="1" ht="24.95" customHeight="1" x14ac:dyDescent="0.25">
      <c r="B126" s="440" t="s">
        <v>327</v>
      </c>
      <c r="C126" s="517">
        <v>45091</v>
      </c>
      <c r="D126" s="516">
        <v>48379</v>
      </c>
      <c r="E126" s="527" t="s">
        <v>325</v>
      </c>
      <c r="F126" s="547">
        <v>3288</v>
      </c>
      <c r="G126" s="454"/>
      <c r="H126" s="56">
        <f t="shared" si="11"/>
        <v>201171124416</v>
      </c>
      <c r="I126" s="423">
        <v>61183432</v>
      </c>
      <c r="J126" s="584">
        <v>5.7</v>
      </c>
      <c r="K126" s="158"/>
      <c r="N126" s="10">
        <f t="shared" si="12"/>
        <v>348745562</v>
      </c>
      <c r="O126" s="4"/>
      <c r="P126" s="4"/>
      <c r="Q126" s="4"/>
      <c r="R126" s="4"/>
      <c r="S126" s="4"/>
    </row>
    <row r="127" spans="2:19" s="10" customFormat="1" ht="24.95" customHeight="1" x14ac:dyDescent="0.25">
      <c r="B127" s="440" t="s">
        <v>482</v>
      </c>
      <c r="C127" s="517">
        <v>45464</v>
      </c>
      <c r="D127" s="516">
        <v>48751</v>
      </c>
      <c r="E127" s="527" t="s">
        <v>481</v>
      </c>
      <c r="F127" s="547">
        <v>3287</v>
      </c>
      <c r="G127" s="454"/>
      <c r="H127" s="56">
        <f t="shared" si="11"/>
        <v>88685781129</v>
      </c>
      <c r="I127" s="423">
        <v>26980767</v>
      </c>
      <c r="J127" s="584">
        <v>6</v>
      </c>
      <c r="K127" s="158"/>
      <c r="N127" s="10">
        <f t="shared" si="12"/>
        <v>161884602</v>
      </c>
      <c r="O127" s="4"/>
      <c r="P127" s="4"/>
      <c r="Q127" s="4"/>
      <c r="R127" s="4"/>
      <c r="S127" s="4"/>
    </row>
    <row r="128" spans="2:19" s="10" customFormat="1" ht="24.95" customHeight="1" x14ac:dyDescent="0.25">
      <c r="B128" s="440" t="s">
        <v>412</v>
      </c>
      <c r="C128" s="517">
        <v>45274</v>
      </c>
      <c r="D128" s="516">
        <v>48927</v>
      </c>
      <c r="E128" s="527" t="s">
        <v>331</v>
      </c>
      <c r="F128" s="547">
        <v>3288</v>
      </c>
      <c r="G128" s="454"/>
      <c r="H128" s="56">
        <f t="shared" si="11"/>
        <v>1669976252.1600001</v>
      </c>
      <c r="I128" s="423">
        <v>507900.32</v>
      </c>
      <c r="J128" s="584">
        <v>5.7</v>
      </c>
      <c r="K128" s="158"/>
      <c r="N128" s="10">
        <f t="shared" si="12"/>
        <v>2895032</v>
      </c>
      <c r="O128" s="4"/>
      <c r="P128" s="4"/>
      <c r="Q128" s="4"/>
      <c r="R128" s="4"/>
      <c r="S128" s="4"/>
    </row>
    <row r="129" spans="1:19" s="10" customFormat="1" ht="24.95" customHeight="1" x14ac:dyDescent="0.25">
      <c r="B129" s="440" t="s">
        <v>550</v>
      </c>
      <c r="C129" s="517">
        <v>45496</v>
      </c>
      <c r="D129" s="516">
        <v>48781</v>
      </c>
      <c r="E129" s="527" t="s">
        <v>551</v>
      </c>
      <c r="F129" s="547">
        <v>3285</v>
      </c>
      <c r="G129" s="454"/>
      <c r="H129" s="56">
        <f t="shared" si="11"/>
        <v>321000630795</v>
      </c>
      <c r="I129" s="423">
        <v>97717087</v>
      </c>
      <c r="J129" s="584">
        <v>6</v>
      </c>
      <c r="K129" s="158"/>
      <c r="N129" s="10">
        <f t="shared" si="12"/>
        <v>586302522</v>
      </c>
      <c r="O129" s="4"/>
      <c r="P129" s="4"/>
      <c r="Q129" s="4"/>
      <c r="R129" s="4"/>
      <c r="S129" s="4"/>
    </row>
    <row r="130" spans="1:19" s="10" customFormat="1" ht="12.75" customHeight="1" x14ac:dyDescent="0.25">
      <c r="B130" s="440"/>
      <c r="C130" s="517"/>
      <c r="D130" s="516"/>
      <c r="E130" s="497"/>
      <c r="F130" s="511"/>
      <c r="G130" s="454"/>
      <c r="H130" s="511"/>
      <c r="I130" s="423"/>
      <c r="J130" s="584"/>
      <c r="K130" s="158"/>
      <c r="O130" s="4"/>
      <c r="P130" s="4"/>
      <c r="Q130" s="4"/>
      <c r="R130" s="4"/>
      <c r="S130" s="4"/>
    </row>
    <row r="131" spans="1:19" s="10" customFormat="1" ht="24.95" customHeight="1" x14ac:dyDescent="0.25">
      <c r="B131" s="668" t="s">
        <v>599</v>
      </c>
      <c r="C131" s="318"/>
      <c r="D131" s="319"/>
      <c r="E131" s="446"/>
      <c r="F131" s="669">
        <f>+H131/I131</f>
        <v>1379</v>
      </c>
      <c r="G131" s="565">
        <f>+F131/365</f>
        <v>3.78</v>
      </c>
      <c r="H131" s="322">
        <f>+H132+H136+H139+H144+H146</f>
        <v>373525931022.45001</v>
      </c>
      <c r="I131" s="560">
        <f>+I132+I136+I139+I144+I146</f>
        <v>270858715.13</v>
      </c>
      <c r="J131" s="676">
        <f>+N131/I131</f>
        <v>4.8899999999999997</v>
      </c>
      <c r="K131" s="158"/>
      <c r="N131" s="443">
        <f>+N132+N136+N139+N144+N146</f>
        <v>1323839949</v>
      </c>
      <c r="O131" s="4"/>
      <c r="P131" s="4"/>
      <c r="Q131" s="4"/>
      <c r="R131" s="4"/>
      <c r="S131" s="4"/>
    </row>
    <row r="132" spans="1:19" s="10" customFormat="1" ht="24.95" customHeight="1" x14ac:dyDescent="0.25">
      <c r="A132" s="29"/>
      <c r="B132" s="607" t="s">
        <v>39</v>
      </c>
      <c r="C132" s="517"/>
      <c r="D132" s="517"/>
      <c r="E132" s="497"/>
      <c r="F132" s="667">
        <f>+H132/I132</f>
        <v>1643</v>
      </c>
      <c r="G132" s="470">
        <f>+F132/365</f>
        <v>4.5</v>
      </c>
      <c r="H132" s="32">
        <f>SUM(H133:H135)</f>
        <v>142897500000</v>
      </c>
      <c r="I132" s="533">
        <f>SUM(I133:I135)</f>
        <v>87000000</v>
      </c>
      <c r="J132" s="677">
        <f>+N132/I132</f>
        <v>4.75</v>
      </c>
      <c r="K132" s="296" t="s">
        <v>140</v>
      </c>
      <c r="N132" s="444">
        <f>SUM(N133:N135)</f>
        <v>413250000</v>
      </c>
      <c r="O132" s="4"/>
      <c r="P132" s="4"/>
      <c r="Q132" s="4"/>
      <c r="R132" s="4"/>
      <c r="S132" s="4"/>
    </row>
    <row r="133" spans="1:19" s="10" customFormat="1" ht="24.95" hidden="1" customHeight="1" x14ac:dyDescent="0.25">
      <c r="A133" s="29"/>
      <c r="B133" s="314"/>
      <c r="C133" s="516">
        <v>42333</v>
      </c>
      <c r="D133" s="516">
        <v>45253</v>
      </c>
      <c r="E133" s="527" t="s">
        <v>47</v>
      </c>
      <c r="F133" s="547"/>
      <c r="G133" s="454"/>
      <c r="H133" s="511"/>
      <c r="I133" s="423"/>
      <c r="J133" s="573"/>
      <c r="K133" s="158" t="s">
        <v>146</v>
      </c>
      <c r="O133" s="4"/>
      <c r="P133" s="4"/>
      <c r="Q133" s="4"/>
      <c r="R133" s="4"/>
      <c r="S133" s="4"/>
    </row>
    <row r="134" spans="1:19" s="10" customFormat="1" ht="24.95" customHeight="1" x14ac:dyDescent="0.25">
      <c r="A134" s="29"/>
      <c r="B134" s="314">
        <v>50401000670</v>
      </c>
      <c r="C134" s="516">
        <v>44802</v>
      </c>
      <c r="D134" s="516">
        <v>46262</v>
      </c>
      <c r="E134" s="527" t="s">
        <v>15</v>
      </c>
      <c r="F134" s="547">
        <f>4*365</f>
        <v>1460</v>
      </c>
      <c r="G134" s="454"/>
      <c r="H134" s="56">
        <f t="shared" ref="H134:H147" si="13">+F134*I134</f>
        <v>63510000000</v>
      </c>
      <c r="I134" s="423">
        <v>43500000</v>
      </c>
      <c r="J134" s="573">
        <v>4.7</v>
      </c>
      <c r="K134" s="158" t="s">
        <v>146</v>
      </c>
      <c r="N134" s="10">
        <f t="shared" ref="N134:N147" si="14">+I134*J134</f>
        <v>204450000</v>
      </c>
      <c r="O134" s="4"/>
      <c r="P134" s="4"/>
      <c r="Q134" s="4"/>
      <c r="R134" s="4"/>
      <c r="S134" s="4"/>
    </row>
    <row r="135" spans="1:19" s="10" customFormat="1" ht="24.95" customHeight="1" x14ac:dyDescent="0.25">
      <c r="B135" s="314">
        <v>50401000686</v>
      </c>
      <c r="C135" s="516">
        <v>44802</v>
      </c>
      <c r="D135" s="516">
        <v>46627</v>
      </c>
      <c r="E135" s="527" t="s">
        <v>6</v>
      </c>
      <c r="F135" s="547">
        <f>5*365</f>
        <v>1825</v>
      </c>
      <c r="G135" s="454"/>
      <c r="H135" s="56">
        <f t="shared" si="13"/>
        <v>79387500000</v>
      </c>
      <c r="I135" s="423">
        <v>43500000</v>
      </c>
      <c r="J135" s="573">
        <v>4.8</v>
      </c>
      <c r="K135" s="158"/>
      <c r="N135" s="10">
        <f t="shared" si="14"/>
        <v>208800000</v>
      </c>
      <c r="O135" s="4"/>
      <c r="P135" s="4"/>
      <c r="Q135" s="4"/>
      <c r="R135" s="4"/>
      <c r="S135" s="4"/>
    </row>
    <row r="136" spans="1:19" s="10" customFormat="1" ht="24.95" customHeight="1" x14ac:dyDescent="0.25">
      <c r="B136" s="607" t="s">
        <v>485</v>
      </c>
      <c r="C136" s="517"/>
      <c r="D136" s="517"/>
      <c r="E136" s="497"/>
      <c r="F136" s="667">
        <f>+H136/I136</f>
        <v>1095</v>
      </c>
      <c r="G136" s="470">
        <f>+F136/365</f>
        <v>3</v>
      </c>
      <c r="H136" s="32">
        <f>SUM(H137:H138)</f>
        <v>54750000000</v>
      </c>
      <c r="I136" s="533">
        <f>SUM(I137:I138)</f>
        <v>50000000</v>
      </c>
      <c r="J136" s="677">
        <f>+N136/I136</f>
        <v>5.38</v>
      </c>
      <c r="K136" s="158"/>
      <c r="N136" s="444">
        <f>SUM(N137:N138)</f>
        <v>269000000</v>
      </c>
      <c r="O136" s="4"/>
      <c r="P136" s="4"/>
      <c r="Q136" s="4"/>
      <c r="R136" s="4"/>
      <c r="S136" s="4"/>
    </row>
    <row r="137" spans="1:19" s="10" customFormat="1" ht="24.95" customHeight="1" x14ac:dyDescent="0.25">
      <c r="A137" s="29"/>
      <c r="B137" s="314">
        <v>202286149</v>
      </c>
      <c r="C137" s="516">
        <v>45446</v>
      </c>
      <c r="D137" s="516">
        <v>46541</v>
      </c>
      <c r="E137" s="527" t="s">
        <v>9</v>
      </c>
      <c r="F137" s="547">
        <f>3*365</f>
        <v>1095</v>
      </c>
      <c r="G137" s="454"/>
      <c r="H137" s="56">
        <f t="shared" si="13"/>
        <v>27375000000</v>
      </c>
      <c r="I137" s="423">
        <v>25000000</v>
      </c>
      <c r="J137" s="573">
        <v>5.38</v>
      </c>
      <c r="K137" s="158" t="s">
        <v>146</v>
      </c>
      <c r="N137" s="10">
        <f t="shared" si="14"/>
        <v>134500000</v>
      </c>
      <c r="O137" s="4"/>
      <c r="P137" s="4"/>
      <c r="Q137" s="4"/>
      <c r="R137" s="4"/>
      <c r="S137" s="4"/>
    </row>
    <row r="138" spans="1:19" s="10" customFormat="1" ht="24.95" customHeight="1" x14ac:dyDescent="0.25">
      <c r="B138" s="314">
        <v>202286169</v>
      </c>
      <c r="C138" s="516">
        <v>45446</v>
      </c>
      <c r="D138" s="516">
        <v>46541</v>
      </c>
      <c r="E138" s="527" t="s">
        <v>9</v>
      </c>
      <c r="F138" s="547">
        <v>1095</v>
      </c>
      <c r="G138" s="454"/>
      <c r="H138" s="56">
        <f t="shared" si="13"/>
        <v>27375000000</v>
      </c>
      <c r="I138" s="423">
        <v>25000000</v>
      </c>
      <c r="J138" s="573">
        <v>5.38</v>
      </c>
      <c r="K138" s="158"/>
      <c r="N138" s="10">
        <f t="shared" si="14"/>
        <v>134500000</v>
      </c>
      <c r="O138" s="4"/>
      <c r="P138" s="4"/>
      <c r="Q138" s="4"/>
      <c r="R138" s="4"/>
      <c r="S138" s="4"/>
    </row>
    <row r="139" spans="1:19" s="10" customFormat="1" ht="24.95" customHeight="1" x14ac:dyDescent="0.25">
      <c r="A139" s="29"/>
      <c r="B139" s="607" t="s">
        <v>168</v>
      </c>
      <c r="C139" s="517"/>
      <c r="D139" s="517"/>
      <c r="E139" s="497"/>
      <c r="F139" s="667">
        <f>+H139/I139</f>
        <v>1419</v>
      </c>
      <c r="G139" s="470">
        <f>+F139/365</f>
        <v>3.89</v>
      </c>
      <c r="H139" s="32">
        <f>SUM(H140:H143)</f>
        <v>128240323680.75</v>
      </c>
      <c r="I139" s="533">
        <f>SUM(I140:I143)</f>
        <v>90343352.549999997</v>
      </c>
      <c r="J139" s="677">
        <f>+N139/I139</f>
        <v>4.57</v>
      </c>
      <c r="K139" s="296" t="s">
        <v>146</v>
      </c>
      <c r="N139" s="444">
        <f>SUM(N140:N143)</f>
        <v>413122774</v>
      </c>
      <c r="O139" s="4"/>
      <c r="P139" s="4"/>
      <c r="Q139" s="4"/>
      <c r="R139" s="4"/>
      <c r="S139" s="4"/>
    </row>
    <row r="140" spans="1:19" s="10" customFormat="1" ht="24.95" customHeight="1" x14ac:dyDescent="0.25">
      <c r="A140" s="29"/>
      <c r="B140" s="314">
        <v>70100566501</v>
      </c>
      <c r="C140" s="517" t="s">
        <v>489</v>
      </c>
      <c r="D140" s="516">
        <v>45811</v>
      </c>
      <c r="E140" s="497" t="s">
        <v>199</v>
      </c>
      <c r="F140" s="547">
        <v>365</v>
      </c>
      <c r="G140" s="454"/>
      <c r="H140" s="56">
        <f t="shared" si="13"/>
        <v>1220323680.75</v>
      </c>
      <c r="I140" s="423">
        <v>3343352.55</v>
      </c>
      <c r="J140" s="573">
        <v>5.6</v>
      </c>
      <c r="K140" s="296"/>
      <c r="N140" s="10">
        <f t="shared" si="14"/>
        <v>18722774</v>
      </c>
      <c r="O140" s="4"/>
      <c r="P140" s="4"/>
      <c r="Q140" s="4"/>
      <c r="R140" s="4"/>
      <c r="S140" s="4"/>
    </row>
    <row r="141" spans="1:19" s="10" customFormat="1" ht="24.95" customHeight="1" x14ac:dyDescent="0.25">
      <c r="A141" s="29"/>
      <c r="B141" s="440">
        <v>130020000610160</v>
      </c>
      <c r="C141" s="517">
        <v>44803</v>
      </c>
      <c r="D141" s="517">
        <v>45898</v>
      </c>
      <c r="E141" s="527" t="s">
        <v>9</v>
      </c>
      <c r="F141" s="547">
        <v>1095</v>
      </c>
      <c r="G141" s="454"/>
      <c r="H141" s="56">
        <f t="shared" si="13"/>
        <v>31755000000</v>
      </c>
      <c r="I141" s="423">
        <v>29000000</v>
      </c>
      <c r="J141" s="678">
        <v>4.0999999999999996</v>
      </c>
      <c r="K141" s="296" t="s">
        <v>146</v>
      </c>
      <c r="N141" s="10">
        <f t="shared" si="14"/>
        <v>118900000</v>
      </c>
      <c r="O141" s="4"/>
      <c r="P141" s="4"/>
      <c r="Q141" s="4"/>
      <c r="R141" s="4"/>
      <c r="S141" s="4"/>
    </row>
    <row r="142" spans="1:19" s="10" customFormat="1" ht="24.95" customHeight="1" x14ac:dyDescent="0.25">
      <c r="A142" s="29"/>
      <c r="B142" s="440">
        <v>130020000610112</v>
      </c>
      <c r="C142" s="517">
        <v>44803</v>
      </c>
      <c r="D142" s="517">
        <v>46265</v>
      </c>
      <c r="E142" s="527" t="s">
        <v>15</v>
      </c>
      <c r="F142" s="547">
        <v>1460</v>
      </c>
      <c r="G142" s="454"/>
      <c r="H142" s="56">
        <f t="shared" si="13"/>
        <v>42340000000</v>
      </c>
      <c r="I142" s="423">
        <v>29000000</v>
      </c>
      <c r="J142" s="678">
        <v>4.5</v>
      </c>
      <c r="K142" s="296" t="s">
        <v>146</v>
      </c>
      <c r="N142" s="10">
        <f t="shared" si="14"/>
        <v>130500000</v>
      </c>
      <c r="O142" s="4"/>
      <c r="P142" s="4"/>
      <c r="Q142" s="4"/>
      <c r="R142" s="4"/>
      <c r="S142" s="4"/>
    </row>
    <row r="143" spans="1:19" s="10" customFormat="1" ht="24.95" customHeight="1" x14ac:dyDescent="0.25">
      <c r="B143" s="440">
        <v>130020000610110</v>
      </c>
      <c r="C143" s="517">
        <v>44803</v>
      </c>
      <c r="D143" s="517">
        <v>46629</v>
      </c>
      <c r="E143" s="527" t="s">
        <v>6</v>
      </c>
      <c r="F143" s="547">
        <v>1825</v>
      </c>
      <c r="G143" s="454"/>
      <c r="H143" s="56">
        <f t="shared" si="13"/>
        <v>52925000000</v>
      </c>
      <c r="I143" s="423">
        <v>29000000</v>
      </c>
      <c r="J143" s="678">
        <v>5</v>
      </c>
      <c r="K143" s="158"/>
      <c r="N143" s="10">
        <f t="shared" si="14"/>
        <v>145000000</v>
      </c>
      <c r="O143" s="4"/>
      <c r="P143" s="4"/>
      <c r="Q143" s="4"/>
      <c r="R143" s="4"/>
      <c r="S143" s="4"/>
    </row>
    <row r="144" spans="1:19" s="10" customFormat="1" ht="24.95" customHeight="1" x14ac:dyDescent="0.25">
      <c r="A144" s="29"/>
      <c r="B144" s="607" t="s">
        <v>359</v>
      </c>
      <c r="C144" s="517"/>
      <c r="D144" s="517"/>
      <c r="E144" s="497"/>
      <c r="F144" s="667">
        <f>+H144/I144</f>
        <v>1095</v>
      </c>
      <c r="G144" s="470">
        <f>+F144/365</f>
        <v>3</v>
      </c>
      <c r="H144" s="32">
        <f>SUM(H145)</f>
        <v>47632500000</v>
      </c>
      <c r="I144" s="533">
        <f>SUM(I145)</f>
        <v>43500000</v>
      </c>
      <c r="J144" s="677">
        <f>+N144/I144</f>
        <v>5.25</v>
      </c>
      <c r="K144" s="296" t="s">
        <v>140</v>
      </c>
      <c r="N144" s="444">
        <f>SUM(N145)</f>
        <v>228375000</v>
      </c>
      <c r="O144" s="4"/>
      <c r="P144" s="4"/>
      <c r="Q144" s="4"/>
      <c r="R144" s="4"/>
      <c r="S144" s="4"/>
    </row>
    <row r="145" spans="2:19" s="17" customFormat="1" ht="24.95" customHeight="1" x14ac:dyDescent="0.25">
      <c r="B145" s="314">
        <v>258906338</v>
      </c>
      <c r="C145" s="516">
        <v>44777</v>
      </c>
      <c r="D145" s="516">
        <v>45873</v>
      </c>
      <c r="E145" s="527" t="s">
        <v>9</v>
      </c>
      <c r="F145" s="547">
        <v>1095</v>
      </c>
      <c r="G145" s="454"/>
      <c r="H145" s="56">
        <f t="shared" si="13"/>
        <v>47632500000</v>
      </c>
      <c r="I145" s="423">
        <v>43500000</v>
      </c>
      <c r="J145" s="573">
        <v>5.25</v>
      </c>
      <c r="K145" s="158"/>
      <c r="L145" s="10"/>
      <c r="M145" s="10"/>
      <c r="N145" s="10">
        <f t="shared" si="14"/>
        <v>228375000</v>
      </c>
      <c r="O145" s="27"/>
      <c r="P145" s="27"/>
      <c r="Q145" s="27"/>
      <c r="R145" s="27"/>
      <c r="S145" s="27"/>
    </row>
    <row r="146" spans="2:19" s="17" customFormat="1" ht="24.95" customHeight="1" x14ac:dyDescent="0.25">
      <c r="B146" s="607" t="s">
        <v>357</v>
      </c>
      <c r="C146" s="517"/>
      <c r="D146" s="517"/>
      <c r="E146" s="497"/>
      <c r="F146" s="667">
        <f>+H146/I146</f>
        <v>365</v>
      </c>
      <c r="G146" s="470">
        <f>+F146/365</f>
        <v>1</v>
      </c>
      <c r="H146" s="32">
        <f>SUM(H147)</f>
        <v>5607341.7000000002</v>
      </c>
      <c r="I146" s="533">
        <f>SUM(I147)</f>
        <v>15362.58</v>
      </c>
      <c r="J146" s="673">
        <f>+N146/I146</f>
        <v>6</v>
      </c>
      <c r="K146" s="158"/>
      <c r="L146" s="10"/>
      <c r="M146" s="10"/>
      <c r="N146" s="444">
        <f>SUM(N147)</f>
        <v>92175</v>
      </c>
      <c r="O146" s="27"/>
      <c r="P146" s="27"/>
      <c r="Q146" s="27"/>
      <c r="R146" s="27"/>
      <c r="S146" s="27"/>
    </row>
    <row r="147" spans="2:19" s="17" customFormat="1" ht="24.95" customHeight="1" x14ac:dyDescent="0.25">
      <c r="B147" s="538">
        <v>1710142723</v>
      </c>
      <c r="C147" s="451">
        <v>45183</v>
      </c>
      <c r="D147" s="452">
        <v>45548</v>
      </c>
      <c r="E147" s="175" t="s">
        <v>199</v>
      </c>
      <c r="F147" s="600">
        <v>365</v>
      </c>
      <c r="G147" s="453"/>
      <c r="H147" s="631">
        <f t="shared" si="13"/>
        <v>5607341.7000000002</v>
      </c>
      <c r="I147" s="514">
        <v>15362.58</v>
      </c>
      <c r="J147" s="585">
        <v>6</v>
      </c>
      <c r="K147" s="158"/>
      <c r="L147" s="10"/>
      <c r="M147" s="10"/>
      <c r="N147" s="10">
        <f t="shared" si="14"/>
        <v>92175</v>
      </c>
      <c r="O147" s="27"/>
      <c r="P147" s="27"/>
      <c r="Q147" s="27"/>
      <c r="R147" s="27"/>
      <c r="S147" s="27"/>
    </row>
    <row r="148" spans="2:19" ht="16.5" customHeight="1" x14ac:dyDescent="0.25">
      <c r="B148" s="338"/>
    </row>
  </sheetData>
  <sortState ref="B93:J119">
    <sortCondition ref="D93:D119"/>
  </sortState>
  <mergeCells count="14">
    <mergeCell ref="B2:J2"/>
    <mergeCell ref="J6:J7"/>
    <mergeCell ref="N7:O7"/>
    <mergeCell ref="N3:O3"/>
    <mergeCell ref="B3:J3"/>
    <mergeCell ref="N4:N6"/>
    <mergeCell ref="B5:J5"/>
    <mergeCell ref="B4:J4"/>
    <mergeCell ref="I6:I7"/>
    <mergeCell ref="K6:K7"/>
    <mergeCell ref="B6:B7"/>
    <mergeCell ref="C6:C7"/>
    <mergeCell ref="D6:D7"/>
    <mergeCell ref="G6:G7"/>
  </mergeCells>
  <printOptions horizontalCentered="1" gridLinesSet="0"/>
  <pageMargins left="0.59055118110236227" right="0.59055118110236227" top="0.43307086614173229" bottom="0.55118110236220474" header="0.43307086614173229" footer="0.27559055118110237"/>
  <pageSetup scale="75" fitToWidth="6" fitToHeight="0" orientation="portrait" blackAndWhite="1" useFirstPageNumber="1" r:id="rId1"/>
  <headerFooter alignWithMargins="0">
    <oddFooter>&amp;C&amp;"Arial,Normal"&amp;8Página &amp;P de &amp;N</oddFooter>
  </headerFooter>
  <rowBreaks count="6" manualBreakCount="6">
    <brk id="25" min="1" max="6" man="1"/>
    <brk id="46" min="1" max="6" man="1"/>
    <brk id="72" min="1" max="6" man="1"/>
    <brk id="98" min="1" max="6" man="1"/>
    <brk id="119" min="1" max="6" man="1"/>
    <brk id="145" min="1" max="6" man="1"/>
  </rowBreaks>
  <ignoredErrors>
    <ignoredError sqref="N136:N146 F28:F29 H60:H66 H136:H146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>
    <tabColor rgb="FF996633"/>
    <pageSetUpPr fitToPage="1"/>
  </sheetPr>
  <dimension ref="A1:U24"/>
  <sheetViews>
    <sheetView showGridLines="0" zoomScaleNormal="100" zoomScaleSheetLayoutView="80" workbookViewId="0">
      <selection activeCell="G7" sqref="G7"/>
    </sheetView>
  </sheetViews>
  <sheetFormatPr baseColWidth="10" defaultColWidth="18" defaultRowHeight="21" customHeight="1" x14ac:dyDescent="0.25"/>
  <cols>
    <col min="1" max="1" width="5.42578125" style="1" customWidth="1"/>
    <col min="2" max="2" width="35.7109375" style="103" customWidth="1"/>
    <col min="3" max="3" width="25" style="2" customWidth="1"/>
    <col min="4" max="4" width="21.42578125" style="2" customWidth="1"/>
    <col min="5" max="6" width="17.5703125" style="19" hidden="1" customWidth="1"/>
    <col min="7" max="7" width="18.28515625" style="19" customWidth="1"/>
    <col min="8" max="8" width="23.5703125" style="19" hidden="1" customWidth="1"/>
    <col min="9" max="9" width="21.140625" style="2" customWidth="1"/>
    <col min="10" max="10" width="19.5703125" style="103" customWidth="1"/>
    <col min="11" max="11" width="29" style="2" hidden="1" customWidth="1"/>
    <col min="12" max="12" width="34.85546875" style="2" hidden="1" customWidth="1"/>
    <col min="13" max="13" width="24.5703125" style="2" hidden="1" customWidth="1"/>
    <col min="14" max="14" width="23.140625" style="1" hidden="1" customWidth="1"/>
    <col min="15" max="16" width="18" style="1"/>
    <col min="17" max="21" width="18" style="3"/>
    <col min="22" max="16384" width="18" style="1"/>
  </cols>
  <sheetData>
    <row r="1" spans="1:21" s="12" customFormat="1" ht="12.75" customHeight="1" x14ac:dyDescent="0.25">
      <c r="B1" s="388"/>
      <c r="C1" s="388"/>
      <c r="D1" s="388"/>
      <c r="E1" s="389"/>
      <c r="F1" s="389"/>
      <c r="G1" s="389"/>
      <c r="H1" s="389"/>
      <c r="I1" s="388"/>
      <c r="J1" s="388"/>
      <c r="K1" s="316"/>
      <c r="L1" s="316"/>
      <c r="M1" s="18"/>
      <c r="N1" s="816"/>
      <c r="O1" s="816"/>
      <c r="P1" s="816"/>
      <c r="Q1" s="816"/>
      <c r="R1" s="11"/>
      <c r="S1" s="11"/>
      <c r="T1" s="11"/>
      <c r="U1" s="11"/>
    </row>
    <row r="2" spans="1:21" s="13" customFormat="1" ht="24.95" customHeight="1" x14ac:dyDescent="0.25">
      <c r="B2" s="808" t="s">
        <v>0</v>
      </c>
      <c r="C2" s="808"/>
      <c r="D2" s="808"/>
      <c r="E2" s="808"/>
      <c r="F2" s="808"/>
      <c r="G2" s="808"/>
      <c r="H2" s="808"/>
      <c r="I2" s="808"/>
      <c r="J2" s="808"/>
      <c r="K2" s="19"/>
      <c r="L2" s="19"/>
      <c r="M2" s="817"/>
      <c r="N2" s="817"/>
      <c r="O2" s="817"/>
      <c r="P2" s="817"/>
      <c r="Q2" s="817"/>
      <c r="R2" s="20"/>
      <c r="S2" s="20"/>
      <c r="T2" s="20"/>
      <c r="U2" s="20"/>
    </row>
    <row r="3" spans="1:21" s="24" customFormat="1" ht="24.95" customHeight="1" x14ac:dyDescent="0.25">
      <c r="A3" s="21"/>
      <c r="B3" s="809" t="s">
        <v>213</v>
      </c>
      <c r="C3" s="809"/>
      <c r="D3" s="809"/>
      <c r="E3" s="809"/>
      <c r="F3" s="809"/>
      <c r="G3" s="809"/>
      <c r="H3" s="809"/>
      <c r="I3" s="809"/>
      <c r="J3" s="809"/>
      <c r="K3" s="315"/>
      <c r="L3" s="315"/>
      <c r="M3" s="818"/>
      <c r="N3" s="23"/>
      <c r="O3" s="23"/>
      <c r="P3" s="23"/>
      <c r="Q3" s="23"/>
      <c r="R3" s="20"/>
      <c r="S3" s="20"/>
      <c r="T3" s="20"/>
      <c r="U3" s="21"/>
    </row>
    <row r="4" spans="1:21" s="13" customFormat="1" ht="24.95" customHeight="1" x14ac:dyDescent="0.25">
      <c r="B4" s="810" t="str">
        <f>'VENC. '!$B$4</f>
        <v>AL 31 DE JULIO  DE 2024</v>
      </c>
      <c r="C4" s="810"/>
      <c r="D4" s="810"/>
      <c r="E4" s="810"/>
      <c r="F4" s="810"/>
      <c r="G4" s="810"/>
      <c r="H4" s="810"/>
      <c r="I4" s="810"/>
      <c r="J4" s="810"/>
      <c r="K4" s="315"/>
      <c r="L4" s="315"/>
      <c r="M4" s="818"/>
      <c r="N4" s="4"/>
      <c r="O4" s="19"/>
      <c r="P4" s="19"/>
      <c r="Q4" s="108"/>
      <c r="R4" s="20"/>
      <c r="S4" s="20"/>
      <c r="T4" s="20"/>
      <c r="U4" s="20"/>
    </row>
    <row r="5" spans="1:21" ht="34.5" customHeight="1" x14ac:dyDescent="0.25">
      <c r="B5" s="813" t="s">
        <v>1</v>
      </c>
      <c r="C5" s="813" t="s">
        <v>594</v>
      </c>
      <c r="D5" s="813" t="s">
        <v>595</v>
      </c>
      <c r="E5" s="566" t="s">
        <v>2</v>
      </c>
      <c r="F5" s="812"/>
      <c r="G5" s="812" t="s">
        <v>596</v>
      </c>
      <c r="H5" s="566"/>
      <c r="I5" s="811" t="s">
        <v>598</v>
      </c>
      <c r="J5" s="813" t="s">
        <v>3</v>
      </c>
      <c r="K5" s="806" t="s">
        <v>139</v>
      </c>
      <c r="M5" s="815"/>
      <c r="N5" s="815"/>
      <c r="O5" s="815"/>
      <c r="P5" s="815"/>
      <c r="Q5" s="815"/>
    </row>
    <row r="6" spans="1:21" ht="33.75" customHeight="1" x14ac:dyDescent="0.25">
      <c r="B6" s="814"/>
      <c r="C6" s="814"/>
      <c r="D6" s="814"/>
      <c r="E6" s="567"/>
      <c r="F6" s="812"/>
      <c r="G6" s="812"/>
      <c r="H6" s="567"/>
      <c r="I6" s="811"/>
      <c r="J6" s="814"/>
      <c r="K6" s="807"/>
      <c r="L6" s="4"/>
      <c r="M6" s="108"/>
      <c r="N6" s="18"/>
      <c r="O6" s="18"/>
      <c r="P6" s="18"/>
      <c r="Q6" s="18"/>
      <c r="R6" s="11"/>
    </row>
    <row r="7" spans="1:21" s="10" customFormat="1" ht="40.5" customHeight="1" x14ac:dyDescent="0.25">
      <c r="B7" s="715" t="s">
        <v>19</v>
      </c>
      <c r="C7" s="575"/>
      <c r="D7" s="575"/>
      <c r="E7" s="576"/>
      <c r="F7" s="699">
        <f>+H7/I7</f>
        <v>404</v>
      </c>
      <c r="G7" s="559"/>
      <c r="H7" s="560">
        <f>H8+H19</f>
        <v>33042063834.310001</v>
      </c>
      <c r="I7" s="560">
        <f>I8+I19</f>
        <v>81801953.790000007</v>
      </c>
      <c r="J7" s="610">
        <f>+N7/I7</f>
        <v>3.36</v>
      </c>
      <c r="N7" s="560">
        <f>N8+N19</f>
        <v>274555069</v>
      </c>
      <c r="Q7" s="4"/>
      <c r="R7" s="4"/>
      <c r="S7" s="4"/>
      <c r="T7" s="4"/>
      <c r="U7" s="4"/>
    </row>
    <row r="8" spans="1:21" s="8" customFormat="1" ht="24.95" customHeight="1" x14ac:dyDescent="0.25">
      <c r="B8" s="700" t="s">
        <v>54</v>
      </c>
      <c r="C8" s="579"/>
      <c r="D8" s="579"/>
      <c r="E8" s="496"/>
      <c r="F8" s="699">
        <f>+H8/I8</f>
        <v>549</v>
      </c>
      <c r="G8" s="559">
        <f>+F8/365</f>
        <v>1.5</v>
      </c>
      <c r="H8" s="322">
        <f>SUM(H9:H17)</f>
        <v>27985770135.630001</v>
      </c>
      <c r="I8" s="560">
        <f>SUM(I9:I17)</f>
        <v>50994044.32</v>
      </c>
      <c r="J8" s="610">
        <f>+N8/I8</f>
        <v>3.11</v>
      </c>
      <c r="K8" s="4"/>
      <c r="L8" s="4"/>
      <c r="M8" s="10"/>
      <c r="N8" s="56">
        <f>SUM(N9:N17)</f>
        <v>158677273</v>
      </c>
      <c r="Q8" s="6"/>
      <c r="R8" s="6"/>
      <c r="S8" s="6"/>
      <c r="T8" s="6"/>
      <c r="U8" s="6"/>
    </row>
    <row r="9" spans="1:21" s="10" customFormat="1" ht="24.95" customHeight="1" x14ac:dyDescent="0.25">
      <c r="B9" s="314">
        <v>150000173561</v>
      </c>
      <c r="C9" s="516">
        <v>45504</v>
      </c>
      <c r="D9" s="517">
        <v>45505</v>
      </c>
      <c r="E9" s="527" t="s">
        <v>587</v>
      </c>
      <c r="F9" s="547">
        <v>1</v>
      </c>
      <c r="G9" s="516"/>
      <c r="H9" s="698">
        <f>+F9*I9</f>
        <v>25000000</v>
      </c>
      <c r="I9" s="645">
        <v>25000000</v>
      </c>
      <c r="J9" s="679">
        <v>3.25</v>
      </c>
      <c r="K9" s="351" t="s">
        <v>140</v>
      </c>
      <c r="L9" s="121">
        <v>826</v>
      </c>
      <c r="M9" s="98"/>
      <c r="N9" s="10">
        <f>+I9*J9</f>
        <v>81250000</v>
      </c>
      <c r="Q9" s="4"/>
      <c r="R9" s="4"/>
      <c r="S9" s="4"/>
      <c r="T9" s="4"/>
      <c r="U9" s="4"/>
    </row>
    <row r="10" spans="1:21" s="10" customFormat="1" ht="24.95" customHeight="1" x14ac:dyDescent="0.25">
      <c r="B10" s="314">
        <v>150000173570</v>
      </c>
      <c r="C10" s="516">
        <v>45504</v>
      </c>
      <c r="D10" s="517">
        <v>45505</v>
      </c>
      <c r="E10" s="527" t="s">
        <v>587</v>
      </c>
      <c r="F10" s="547">
        <v>1</v>
      </c>
      <c r="G10" s="516"/>
      <c r="H10" s="698">
        <f t="shared" ref="H10:H17" si="0">+F10*I10</f>
        <v>10590000</v>
      </c>
      <c r="I10" s="645">
        <v>10590000</v>
      </c>
      <c r="J10" s="679">
        <v>3.25</v>
      </c>
      <c r="K10" s="351"/>
      <c r="L10" s="121"/>
      <c r="M10" s="98"/>
      <c r="N10" s="10">
        <f t="shared" ref="N10:N22" si="1">+I10*J10</f>
        <v>34417500</v>
      </c>
      <c r="Q10" s="4"/>
      <c r="R10" s="4"/>
      <c r="S10" s="4"/>
      <c r="T10" s="4"/>
      <c r="U10" s="4"/>
    </row>
    <row r="11" spans="1:21" ht="24.95" customHeight="1" x14ac:dyDescent="0.25">
      <c r="A11" s="8"/>
      <c r="B11" s="440">
        <v>110000086020</v>
      </c>
      <c r="C11" s="517">
        <v>45072</v>
      </c>
      <c r="D11" s="517">
        <v>45716</v>
      </c>
      <c r="E11" s="527" t="s">
        <v>316</v>
      </c>
      <c r="F11" s="547">
        <v>644</v>
      </c>
      <c r="G11" s="516"/>
      <c r="H11" s="698">
        <f t="shared" si="0"/>
        <v>387296209.72000003</v>
      </c>
      <c r="I11" s="423">
        <v>601391.63</v>
      </c>
      <c r="J11" s="605">
        <v>2.25</v>
      </c>
      <c r="K11" s="4"/>
      <c r="L11" s="121"/>
      <c r="N11" s="10">
        <f t="shared" si="1"/>
        <v>1353131</v>
      </c>
    </row>
    <row r="12" spans="1:21" ht="24.95" customHeight="1" x14ac:dyDescent="0.25">
      <c r="A12" s="8"/>
      <c r="B12" s="440">
        <v>110000086076</v>
      </c>
      <c r="C12" s="517">
        <v>45072</v>
      </c>
      <c r="D12" s="517">
        <v>45716</v>
      </c>
      <c r="E12" s="527" t="s">
        <v>316</v>
      </c>
      <c r="F12" s="547">
        <v>644</v>
      </c>
      <c r="G12" s="516"/>
      <c r="H12" s="698">
        <f t="shared" si="0"/>
        <v>3996997488.96</v>
      </c>
      <c r="I12" s="423">
        <v>6206517.8399999999</v>
      </c>
      <c r="J12" s="605">
        <v>2.25</v>
      </c>
      <c r="K12" s="4"/>
      <c r="L12" s="121"/>
      <c r="N12" s="10">
        <f t="shared" si="1"/>
        <v>13964665</v>
      </c>
    </row>
    <row r="13" spans="1:21" s="10" customFormat="1" ht="24.95" customHeight="1" x14ac:dyDescent="0.25">
      <c r="B13" s="529">
        <v>110000060392</v>
      </c>
      <c r="C13" s="519" t="s">
        <v>78</v>
      </c>
      <c r="D13" s="516" t="s">
        <v>82</v>
      </c>
      <c r="E13" s="527" t="s">
        <v>5</v>
      </c>
      <c r="F13" s="547">
        <f>7*365</f>
        <v>2555</v>
      </c>
      <c r="G13" s="516"/>
      <c r="H13" s="698">
        <f t="shared" si="0"/>
        <v>7914526410</v>
      </c>
      <c r="I13" s="423">
        <v>3097662</v>
      </c>
      <c r="J13" s="605">
        <v>3.15</v>
      </c>
      <c r="K13" s="351" t="s">
        <v>140</v>
      </c>
      <c r="L13" s="121"/>
      <c r="N13" s="10">
        <f t="shared" si="1"/>
        <v>9757635</v>
      </c>
      <c r="Q13" s="4"/>
      <c r="R13" s="4"/>
      <c r="S13" s="4"/>
      <c r="T13" s="4"/>
      <c r="U13" s="4"/>
    </row>
    <row r="14" spans="1:21" s="10" customFormat="1" ht="24.95" customHeight="1" x14ac:dyDescent="0.25">
      <c r="B14" s="529">
        <v>110000093384</v>
      </c>
      <c r="C14" s="519">
        <v>45482</v>
      </c>
      <c r="D14" s="516">
        <v>45847</v>
      </c>
      <c r="E14" s="527" t="s">
        <v>444</v>
      </c>
      <c r="F14" s="547">
        <v>365</v>
      </c>
      <c r="G14" s="516"/>
      <c r="H14" s="698">
        <f t="shared" si="0"/>
        <v>11735812.15</v>
      </c>
      <c r="I14" s="423">
        <v>32152.91</v>
      </c>
      <c r="J14" s="605">
        <v>5.25</v>
      </c>
      <c r="K14" s="351"/>
      <c r="L14" s="121"/>
      <c r="N14" s="10">
        <f t="shared" si="1"/>
        <v>168803</v>
      </c>
      <c r="Q14" s="4"/>
      <c r="R14" s="4"/>
      <c r="S14" s="4"/>
      <c r="T14" s="4"/>
      <c r="U14" s="4"/>
    </row>
    <row r="15" spans="1:21" s="3" customFormat="1" ht="24.95" customHeight="1" x14ac:dyDescent="0.25">
      <c r="A15" s="480"/>
      <c r="B15" s="442">
        <v>110000052935</v>
      </c>
      <c r="C15" s="518">
        <v>42975</v>
      </c>
      <c r="D15" s="518">
        <v>45897</v>
      </c>
      <c r="E15" s="546" t="s">
        <v>47</v>
      </c>
      <c r="F15" s="547">
        <f>8*365</f>
        <v>2920</v>
      </c>
      <c r="G15" s="519"/>
      <c r="H15" s="698">
        <f t="shared" si="0"/>
        <v>8542290406.3999996</v>
      </c>
      <c r="I15" s="423">
        <v>2925441.92</v>
      </c>
      <c r="J15" s="679">
        <v>3.25</v>
      </c>
      <c r="K15" s="351" t="s">
        <v>140</v>
      </c>
      <c r="L15" s="121" t="s">
        <v>63</v>
      </c>
      <c r="M15" s="2"/>
      <c r="N15" s="10">
        <f t="shared" si="1"/>
        <v>9507686</v>
      </c>
      <c r="O15" s="1"/>
      <c r="P15" s="1"/>
    </row>
    <row r="16" spans="1:21" ht="24.95" customHeight="1" x14ac:dyDescent="0.25">
      <c r="A16" s="8"/>
      <c r="B16" s="314">
        <v>110000084017</v>
      </c>
      <c r="C16" s="517">
        <v>44902</v>
      </c>
      <c r="D16" s="517">
        <v>46000</v>
      </c>
      <c r="E16" s="527" t="s">
        <v>9</v>
      </c>
      <c r="F16" s="547">
        <f>3*365</f>
        <v>1095</v>
      </c>
      <c r="G16" s="516"/>
      <c r="H16" s="698">
        <f t="shared" si="0"/>
        <v>193218006</v>
      </c>
      <c r="I16" s="423">
        <f>177563.84-554.52-554.52</f>
        <v>176454.8</v>
      </c>
      <c r="J16" s="605">
        <v>3.25</v>
      </c>
      <c r="K16" s="351" t="s">
        <v>140</v>
      </c>
      <c r="L16" s="121" t="s">
        <v>63</v>
      </c>
      <c r="N16" s="10">
        <f t="shared" si="1"/>
        <v>573478</v>
      </c>
    </row>
    <row r="17" spans="1:21" s="3" customFormat="1" ht="24.95" customHeight="1" x14ac:dyDescent="0.25">
      <c r="A17" s="480"/>
      <c r="B17" s="442">
        <v>110000055015</v>
      </c>
      <c r="C17" s="518">
        <v>42964</v>
      </c>
      <c r="D17" s="518">
        <v>45887</v>
      </c>
      <c r="E17" s="546" t="s">
        <v>47</v>
      </c>
      <c r="F17" s="547">
        <f>8*365</f>
        <v>2920</v>
      </c>
      <c r="G17" s="519"/>
      <c r="H17" s="698">
        <f t="shared" si="0"/>
        <v>6904115802.3999996</v>
      </c>
      <c r="I17" s="423">
        <v>2364423.2200000002</v>
      </c>
      <c r="J17" s="679">
        <v>3.25</v>
      </c>
      <c r="K17" s="351" t="s">
        <v>140</v>
      </c>
      <c r="L17" s="121" t="s">
        <v>131</v>
      </c>
      <c r="M17" s="2"/>
      <c r="N17" s="10">
        <f t="shared" si="1"/>
        <v>7684375</v>
      </c>
      <c r="O17" s="1"/>
      <c r="P17" s="1"/>
    </row>
    <row r="18" spans="1:21" s="3" customFormat="1" ht="7.5" customHeight="1" x14ac:dyDescent="0.25">
      <c r="A18" s="480"/>
      <c r="B18" s="442"/>
      <c r="C18" s="518"/>
      <c r="D18" s="518"/>
      <c r="E18" s="498"/>
      <c r="F18" s="511"/>
      <c r="G18" s="519"/>
      <c r="H18" s="698"/>
      <c r="I18" s="423"/>
      <c r="J18" s="679"/>
      <c r="K18" s="4"/>
      <c r="L18" s="121"/>
      <c r="M18" s="2"/>
      <c r="N18" s="10"/>
      <c r="O18" s="1"/>
      <c r="P18" s="1"/>
    </row>
    <row r="19" spans="1:21" ht="24.95" customHeight="1" x14ac:dyDescent="0.25">
      <c r="A19" s="8"/>
      <c r="B19" s="703" t="s">
        <v>37</v>
      </c>
      <c r="C19" s="653"/>
      <c r="D19" s="653"/>
      <c r="E19" s="654"/>
      <c r="F19" s="702">
        <f>+H19/I19</f>
        <v>164</v>
      </c>
      <c r="G19" s="704">
        <f>+F19/365</f>
        <v>0.45</v>
      </c>
      <c r="H19" s="713">
        <f>SUM(H20:H22)</f>
        <v>5056293698.6800003</v>
      </c>
      <c r="I19" s="560">
        <f>SUM(I20:I22)</f>
        <v>30807909.469999999</v>
      </c>
      <c r="J19" s="610">
        <f>+N19/I19</f>
        <v>3.76</v>
      </c>
      <c r="K19" s="4"/>
      <c r="L19" s="121"/>
      <c r="N19" s="509">
        <f>SUM(N20:N22)</f>
        <v>115877796</v>
      </c>
    </row>
    <row r="20" spans="1:21" ht="24.95" customHeight="1" x14ac:dyDescent="0.25">
      <c r="A20" s="8"/>
      <c r="B20" s="440" t="s">
        <v>528</v>
      </c>
      <c r="C20" s="517">
        <v>45485</v>
      </c>
      <c r="D20" s="517">
        <v>45513</v>
      </c>
      <c r="E20" s="527" t="s">
        <v>431</v>
      </c>
      <c r="F20" s="547">
        <v>28</v>
      </c>
      <c r="G20" s="516"/>
      <c r="H20" s="698">
        <f t="shared" ref="H20:H22" si="2">+F20*I20</f>
        <v>672000000</v>
      </c>
      <c r="I20" s="423">
        <v>24000000</v>
      </c>
      <c r="J20" s="605">
        <v>4.1900000000000004</v>
      </c>
      <c r="K20" s="4"/>
      <c r="L20" s="121"/>
      <c r="N20" s="10">
        <f t="shared" si="1"/>
        <v>100560000</v>
      </c>
    </row>
    <row r="21" spans="1:21" s="307" customFormat="1" ht="24.95" customHeight="1" x14ac:dyDescent="0.25">
      <c r="B21" s="440" t="s">
        <v>314</v>
      </c>
      <c r="C21" s="517">
        <v>45072</v>
      </c>
      <c r="D21" s="517">
        <v>45716</v>
      </c>
      <c r="E21" s="527" t="s">
        <v>316</v>
      </c>
      <c r="F21" s="547">
        <v>644</v>
      </c>
      <c r="G21" s="516"/>
      <c r="H21" s="698">
        <f t="shared" si="2"/>
        <v>387296209.72000003</v>
      </c>
      <c r="I21" s="423">
        <v>601391.63</v>
      </c>
      <c r="J21" s="605">
        <v>2.25</v>
      </c>
      <c r="K21" s="172"/>
      <c r="N21" s="10">
        <f t="shared" si="1"/>
        <v>1353131</v>
      </c>
      <c r="Q21" s="308"/>
      <c r="R21" s="308"/>
      <c r="S21" s="308"/>
      <c r="T21" s="308"/>
      <c r="U21" s="308"/>
    </row>
    <row r="22" spans="1:21" s="307" customFormat="1" ht="24.95" customHeight="1" x14ac:dyDescent="0.25">
      <c r="B22" s="712" t="s">
        <v>319</v>
      </c>
      <c r="C22" s="451">
        <v>45072</v>
      </c>
      <c r="D22" s="451">
        <v>45716</v>
      </c>
      <c r="E22" s="539" t="s">
        <v>316</v>
      </c>
      <c r="F22" s="600">
        <v>644</v>
      </c>
      <c r="G22" s="452"/>
      <c r="H22" s="714">
        <f t="shared" si="2"/>
        <v>3996997488.96</v>
      </c>
      <c r="I22" s="514">
        <v>6206517.8399999999</v>
      </c>
      <c r="J22" s="681">
        <v>2.25</v>
      </c>
      <c r="K22" s="172"/>
      <c r="N22" s="10">
        <f t="shared" si="1"/>
        <v>13964665</v>
      </c>
      <c r="Q22" s="308"/>
      <c r="R22" s="308"/>
      <c r="S22" s="308"/>
      <c r="T22" s="308"/>
      <c r="U22" s="308"/>
    </row>
    <row r="23" spans="1:21" ht="21" customHeight="1" x14ac:dyDescent="0.25">
      <c r="B23" s="19"/>
      <c r="C23" s="10"/>
      <c r="D23" s="10"/>
      <c r="I23" s="10"/>
      <c r="J23" s="10"/>
    </row>
    <row r="24" spans="1:21" ht="21" customHeight="1" x14ac:dyDescent="0.25">
      <c r="B24" s="19"/>
      <c r="C24" s="19"/>
      <c r="D24" s="349"/>
    </row>
  </sheetData>
  <sortState ref="B10:K23">
    <sortCondition ref="B10:B23"/>
  </sortState>
  <mergeCells count="15">
    <mergeCell ref="G5:G6"/>
    <mergeCell ref="N1:Q1"/>
    <mergeCell ref="B2:J2"/>
    <mergeCell ref="M2:Q2"/>
    <mergeCell ref="B3:J3"/>
    <mergeCell ref="M3:M4"/>
    <mergeCell ref="B4:J4"/>
    <mergeCell ref="M5:Q5"/>
    <mergeCell ref="I5:I6"/>
    <mergeCell ref="K5:K6"/>
    <mergeCell ref="B5:B6"/>
    <mergeCell ref="C5:C6"/>
    <mergeCell ref="D5:D6"/>
    <mergeCell ref="J5:J6"/>
    <mergeCell ref="F5:F6"/>
  </mergeCells>
  <printOptions horizontalCentered="1" gridLinesSet="0"/>
  <pageMargins left="0.59055118110236227" right="0.59055118110236227" top="0.31496062992125984" bottom="0.31496062992125984" header="0.59055118110236227" footer="0.47244094488188981"/>
  <pageSetup scale="49" fitToHeight="0" orientation="portrait" blackAndWhite="1" useFirstPageNumber="1" r:id="rId1"/>
  <headerFooter alignWithMargins="0">
    <oddFooter>&amp;C&amp;"Arial,Normal"&amp;8Página &amp;P de &amp;N</oddFooter>
  </headerFooter>
  <colBreaks count="1" manualBreakCount="1">
    <brk id="10" max="25" man="1"/>
  </colBreaks>
  <ignoredErrors>
    <ignoredError sqref="F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33</vt:i4>
      </vt:variant>
    </vt:vector>
  </HeadingPairs>
  <TitlesOfParts>
    <vt:vector size="46" baseType="lpstr">
      <vt:lpstr>RESUMEN </vt:lpstr>
      <vt:lpstr>VENC. </vt:lpstr>
      <vt:lpstr>ADMINISTRACIÓN</vt:lpstr>
      <vt:lpstr>SERV CONTABILIDAD</vt:lpstr>
      <vt:lpstr>SEGUROS</vt:lpstr>
      <vt:lpstr>ENF Y MATERNIDAD</vt:lpstr>
      <vt:lpstr>IVM EXCLUSIVO</vt:lpstr>
      <vt:lpstr>MIXTO AHORRO Y B. DEFINIDO</vt:lpstr>
      <vt:lpstr>R. PROFESIONALES</vt:lpstr>
      <vt:lpstr>FIDEICOMISOS  </vt:lpstr>
      <vt:lpstr>CENTRO DE PRESTAMO</vt:lpstr>
      <vt:lpstr>Bca linea - Vigente</vt:lpstr>
      <vt:lpstr>Hoja2</vt:lpstr>
      <vt:lpstr>ADMINISTRACIÓN!A_impresión_IM</vt:lpstr>
      <vt:lpstr>'CENTRO DE PRESTAMO'!A_impresión_IM</vt:lpstr>
      <vt:lpstr>'ENF Y MATERNIDAD'!A_impresión_IM</vt:lpstr>
      <vt:lpstr>'FIDEICOMISOS  '!A_impresión_IM</vt:lpstr>
      <vt:lpstr>'IVM EXCLUSIVO'!A_impresión_IM</vt:lpstr>
      <vt:lpstr>'MIXTO AHORRO Y B. DEFINIDO'!A_impresión_IM</vt:lpstr>
      <vt:lpstr>'R. PROFESIONALES'!A_impresión_IM</vt:lpstr>
      <vt:lpstr>'RESUMEN '!A_impresión_IM</vt:lpstr>
      <vt:lpstr>SEGUROS!A_impresión_IM</vt:lpstr>
      <vt:lpstr>'SERV CONTABILIDAD'!A_impresión_IM</vt:lpstr>
      <vt:lpstr>'VENC. '!A_impresión_IM</vt:lpstr>
      <vt:lpstr>ADMINISTRACIÓN!Área_de_impresión</vt:lpstr>
      <vt:lpstr>'CENTRO DE PRESTAMO'!Área_de_impresión</vt:lpstr>
      <vt:lpstr>'ENF Y MATERNIDAD'!Área_de_impresión</vt:lpstr>
      <vt:lpstr>'FIDEICOMISOS  '!Área_de_impresión</vt:lpstr>
      <vt:lpstr>'IVM EXCLUSIVO'!Área_de_impresión</vt:lpstr>
      <vt:lpstr>'MIXTO AHORRO Y B. DEFINIDO'!Área_de_impresión</vt:lpstr>
      <vt:lpstr>'R. PROFESIONALES'!Área_de_impresión</vt:lpstr>
      <vt:lpstr>'RESUMEN '!Área_de_impresión</vt:lpstr>
      <vt:lpstr>SEGUROS!Área_de_impresión</vt:lpstr>
      <vt:lpstr>'SERV CONTABILIDAD'!Área_de_impresión</vt:lpstr>
      <vt:lpstr>'VENC. '!Área_de_impresión</vt:lpstr>
      <vt:lpstr>ADMINISTRACIÓN!Títulos_a_imprimir</vt:lpstr>
      <vt:lpstr>'CENTRO DE PRESTAMO'!Títulos_a_imprimir</vt:lpstr>
      <vt:lpstr>'ENF Y MATERNIDAD'!Títulos_a_imprimir</vt:lpstr>
      <vt:lpstr>'FIDEICOMISOS  '!Títulos_a_imprimir</vt:lpstr>
      <vt:lpstr>'IVM EXCLUSIVO'!Títulos_a_imprimir</vt:lpstr>
      <vt:lpstr>'MIXTO AHORRO Y B. DEFINIDO'!Títulos_a_imprimir</vt:lpstr>
      <vt:lpstr>'R. PROFESIONALES'!Títulos_a_imprimir</vt:lpstr>
      <vt:lpstr>'RESUMEN '!Títulos_a_imprimir</vt:lpstr>
      <vt:lpstr>SEGUROS!Títulos_a_imprimir</vt:lpstr>
      <vt:lpstr>'SERV CONTABILIDAD'!Títulos_a_imprimir</vt:lpstr>
      <vt:lpstr>'VENC. '!Títulos_a_imprimir</vt:lpstr>
    </vt:vector>
  </TitlesOfParts>
  <Company>CAJA DE SEGURO SOCIAL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Diaz de Vargas, Marlina</dc:creator>
  <cp:lastModifiedBy>Mata, Raul A.</cp:lastModifiedBy>
  <cp:lastPrinted>2024-08-13T23:01:45Z</cp:lastPrinted>
  <dcterms:created xsi:type="dcterms:W3CDTF">2011-09-02T14:16:36Z</dcterms:created>
  <dcterms:modified xsi:type="dcterms:W3CDTF">2024-08-21T15:16:02Z</dcterms:modified>
</cp:coreProperties>
</file>