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4240" windowHeight="13140" activeTab="1"/>
  </bookViews>
  <sheets>
    <sheet name="SUBS. EXCLUSIVO" sheetId="9" r:id="rId1"/>
    <sheet name="SUBSISTEMA MIXTO" sheetId="11" r:id="rId2"/>
    <sheet name="SEGUROS COLECTIVOS" sheetId="12" r:id="rId3"/>
    <sheet name="R. PROFESIONALES" sheetId="13" r:id="rId4"/>
    <sheet name="ENF Y MAT Y BENEF. DEFINIDO" sheetId="14" r:id="rId5"/>
  </sheets>
  <definedNames>
    <definedName name="_xlnm._FilterDatabase" localSheetId="2" hidden="1">'SEGUROS COLECTIVOS'!#REF!</definedName>
    <definedName name="_xlnm._FilterDatabase" localSheetId="0" hidden="1">'SUBS. EXCLUSIVO'!#REF!</definedName>
    <definedName name="_xlnm._FilterDatabase" localSheetId="1" hidden="1">'SUBSISTEMA MIXTO'!#REF!</definedName>
    <definedName name="_xlnm.Print_Area" localSheetId="4">'ENF Y MAT Y BENEF. DEFINIDO'!$B$1:$K$15</definedName>
    <definedName name="_xlnm.Print_Area" localSheetId="3">'R. PROFESIONALES'!$B$1:$K$18</definedName>
    <definedName name="_xlnm.Print_Area" localSheetId="2">'SEGUROS COLECTIVOS'!$B$2:$K$97</definedName>
    <definedName name="_xlnm.Print_Area" localSheetId="0">'SUBS. EXCLUSIVO'!$B$1:$K$14</definedName>
    <definedName name="_xlnm.Print_Area" localSheetId="1">'SUBSISTEMA MIXTO'!$B$1:$K$399</definedName>
    <definedName name="_xlnm.Print_Titles" localSheetId="2">'SEGUROS COLECTIVOS'!$2:$8</definedName>
    <definedName name="_xlnm.Print_Titles" localSheetId="0">'SUBS. EXCLUSIVO'!$1:$7</definedName>
    <definedName name="_xlnm.Print_Titles" localSheetId="1">'SUBSISTEMA MIXTO'!$1:$7</definedName>
  </definedNames>
  <calcPr calcId="144525"/>
</workbook>
</file>

<file path=xl/calcChain.xml><?xml version="1.0" encoding="utf-8"?>
<calcChain xmlns="http://schemas.openxmlformats.org/spreadsheetml/2006/main">
  <c r="G14" i="14" l="1"/>
  <c r="I14" i="14" s="1"/>
  <c r="G12" i="14"/>
  <c r="I12" i="14" s="1"/>
  <c r="G10" i="14"/>
  <c r="I10" i="14" s="1"/>
  <c r="K8" i="14"/>
  <c r="J8" i="14"/>
  <c r="H12" i="14" l="1"/>
  <c r="H10" i="14"/>
  <c r="H14" i="14"/>
  <c r="L12" i="13" l="1"/>
  <c r="M12" i="13" s="1"/>
  <c r="G12" i="13"/>
  <c r="I12" i="13" s="1"/>
  <c r="L11" i="13"/>
  <c r="L10" i="13" s="1"/>
  <c r="M10" i="13" s="1"/>
  <c r="G11" i="13"/>
  <c r="H11" i="13" s="1"/>
  <c r="K10" i="13"/>
  <c r="K8" i="13" s="1"/>
  <c r="J10" i="13"/>
  <c r="J8" i="13" s="1"/>
  <c r="M11" i="13" l="1"/>
  <c r="H12" i="13"/>
  <c r="I11" i="13"/>
  <c r="I10" i="13" s="1"/>
  <c r="G10" i="13"/>
  <c r="H10" i="13" s="1"/>
  <c r="L93" i="12" l="1"/>
  <c r="M93" i="12" s="1"/>
  <c r="G93" i="12"/>
  <c r="I93" i="12" s="1"/>
  <c r="I92" i="12" s="1"/>
  <c r="L92" i="12"/>
  <c r="K92" i="12"/>
  <c r="J92" i="12"/>
  <c r="L90" i="12"/>
  <c r="L89" i="12" s="1"/>
  <c r="G90" i="12"/>
  <c r="I90" i="12" s="1"/>
  <c r="I89" i="12" s="1"/>
  <c r="K89" i="12"/>
  <c r="J89" i="12"/>
  <c r="L88" i="12"/>
  <c r="L87" i="12" s="1"/>
  <c r="G88" i="12"/>
  <c r="I88" i="12" s="1"/>
  <c r="I87" i="12" s="1"/>
  <c r="K87" i="12"/>
  <c r="J87" i="12"/>
  <c r="J86" i="12"/>
  <c r="L84" i="12"/>
  <c r="M84" i="12" s="1"/>
  <c r="G84" i="12"/>
  <c r="I84" i="12" s="1"/>
  <c r="L83" i="12"/>
  <c r="I83" i="12"/>
  <c r="G83" i="12"/>
  <c r="H83" i="12" s="1"/>
  <c r="K82" i="12"/>
  <c r="J82" i="12"/>
  <c r="L79" i="12"/>
  <c r="M79" i="12" s="1"/>
  <c r="G79" i="12"/>
  <c r="I79" i="12" s="1"/>
  <c r="I78" i="12" s="1"/>
  <c r="G78" i="12" s="1"/>
  <c r="H78" i="12" s="1"/>
  <c r="K78" i="12"/>
  <c r="J78" i="12"/>
  <c r="L76" i="12"/>
  <c r="M76" i="12" s="1"/>
  <c r="G76" i="12"/>
  <c r="H76" i="12" s="1"/>
  <c r="M75" i="12"/>
  <c r="L75" i="12"/>
  <c r="I75" i="12"/>
  <c r="H75" i="12"/>
  <c r="G75" i="12"/>
  <c r="L74" i="12"/>
  <c r="M74" i="12" s="1"/>
  <c r="G74" i="12"/>
  <c r="I74" i="12" s="1"/>
  <c r="L73" i="12"/>
  <c r="M73" i="12" s="1"/>
  <c r="G73" i="12"/>
  <c r="I73" i="12" s="1"/>
  <c r="L72" i="12"/>
  <c r="M72" i="12" s="1"/>
  <c r="G72" i="12"/>
  <c r="I72" i="12" s="1"/>
  <c r="L71" i="12"/>
  <c r="M71" i="12" s="1"/>
  <c r="G71" i="12"/>
  <c r="I71" i="12" s="1"/>
  <c r="L70" i="12"/>
  <c r="L69" i="12" s="1"/>
  <c r="G70" i="12"/>
  <c r="I70" i="12" s="1"/>
  <c r="K69" i="12"/>
  <c r="J69" i="12"/>
  <c r="L67" i="12"/>
  <c r="G67" i="12"/>
  <c r="I67" i="12" s="1"/>
  <c r="L66" i="12"/>
  <c r="M66" i="12" s="1"/>
  <c r="G66" i="12"/>
  <c r="I66" i="12" s="1"/>
  <c r="L65" i="12"/>
  <c r="M65" i="12" s="1"/>
  <c r="G65" i="12"/>
  <c r="I65" i="12" s="1"/>
  <c r="L64" i="12"/>
  <c r="M64" i="12" s="1"/>
  <c r="G64" i="12"/>
  <c r="H64" i="12" s="1"/>
  <c r="L63" i="12"/>
  <c r="M63" i="12" s="1"/>
  <c r="I63" i="12"/>
  <c r="G63" i="12"/>
  <c r="H63" i="12" s="1"/>
  <c r="M62" i="12"/>
  <c r="L62" i="12"/>
  <c r="G62" i="12"/>
  <c r="I62" i="12" s="1"/>
  <c r="K61" i="12"/>
  <c r="K55" i="12" s="1"/>
  <c r="J61" i="12"/>
  <c r="J60" i="12" s="1"/>
  <c r="L53" i="12"/>
  <c r="M53" i="12" s="1"/>
  <c r="G53" i="12"/>
  <c r="I53" i="12" s="1"/>
  <c r="K52" i="12"/>
  <c r="J52" i="12"/>
  <c r="L50" i="12"/>
  <c r="L49" i="12" s="1"/>
  <c r="I50" i="12"/>
  <c r="I49" i="12" s="1"/>
  <c r="G50" i="12"/>
  <c r="H50" i="12" s="1"/>
  <c r="K49" i="12"/>
  <c r="J49" i="12"/>
  <c r="L48" i="12"/>
  <c r="L47" i="12" s="1"/>
  <c r="G48" i="12"/>
  <c r="I48" i="12" s="1"/>
  <c r="I47" i="12" s="1"/>
  <c r="K47" i="12"/>
  <c r="K46" i="12" s="1"/>
  <c r="J47" i="12"/>
  <c r="J46" i="12"/>
  <c r="L44" i="12"/>
  <c r="M44" i="12" s="1"/>
  <c r="G44" i="12"/>
  <c r="I44" i="12" s="1"/>
  <c r="L43" i="12"/>
  <c r="M43" i="12" s="1"/>
  <c r="G43" i="12"/>
  <c r="I43" i="12" s="1"/>
  <c r="I42" i="12" s="1"/>
  <c r="I41" i="12" s="1"/>
  <c r="G41" i="12" s="1"/>
  <c r="H41" i="12" s="1"/>
  <c r="L42" i="12"/>
  <c r="L41" i="12" s="1"/>
  <c r="M41" i="12" s="1"/>
  <c r="K42" i="12"/>
  <c r="K41" i="12" s="1"/>
  <c r="J42" i="12"/>
  <c r="J41" i="12" s="1"/>
  <c r="L39" i="12"/>
  <c r="M39" i="12" s="1"/>
  <c r="G39" i="12"/>
  <c r="I39" i="12" s="1"/>
  <c r="I38" i="12" s="1"/>
  <c r="K38" i="12"/>
  <c r="J38" i="12"/>
  <c r="L36" i="12"/>
  <c r="M36" i="12" s="1"/>
  <c r="G36" i="12"/>
  <c r="I36" i="12" s="1"/>
  <c r="L35" i="12"/>
  <c r="M35" i="12" s="1"/>
  <c r="G35" i="12"/>
  <c r="I35" i="12" s="1"/>
  <c r="M34" i="12"/>
  <c r="L34" i="12"/>
  <c r="G34" i="12"/>
  <c r="H34" i="12" s="1"/>
  <c r="L33" i="12"/>
  <c r="M33" i="12" s="1"/>
  <c r="G33" i="12"/>
  <c r="I33" i="12" s="1"/>
  <c r="M32" i="12"/>
  <c r="L32" i="12"/>
  <c r="G32" i="12"/>
  <c r="I32" i="12" s="1"/>
  <c r="L31" i="12"/>
  <c r="M31" i="12" s="1"/>
  <c r="H31" i="12"/>
  <c r="G31" i="12"/>
  <c r="I31" i="12" s="1"/>
  <c r="L30" i="12"/>
  <c r="M30" i="12" s="1"/>
  <c r="G30" i="12"/>
  <c r="I30" i="12" s="1"/>
  <c r="L29" i="12"/>
  <c r="G29" i="12"/>
  <c r="I29" i="12" s="1"/>
  <c r="K28" i="12"/>
  <c r="J28" i="12"/>
  <c r="L26" i="12"/>
  <c r="M26" i="12" s="1"/>
  <c r="G26" i="12"/>
  <c r="I26" i="12" s="1"/>
  <c r="L25" i="12"/>
  <c r="M25" i="12" s="1"/>
  <c r="G25" i="12"/>
  <c r="I25" i="12" s="1"/>
  <c r="L24" i="12"/>
  <c r="M24" i="12" s="1"/>
  <c r="G24" i="12"/>
  <c r="I24" i="12" s="1"/>
  <c r="L23" i="12"/>
  <c r="M23" i="12" s="1"/>
  <c r="G23" i="12"/>
  <c r="I23" i="12" s="1"/>
  <c r="L22" i="12"/>
  <c r="M22" i="12" s="1"/>
  <c r="G22" i="12"/>
  <c r="H22" i="12" s="1"/>
  <c r="L21" i="12"/>
  <c r="L20" i="12" s="1"/>
  <c r="I21" i="12"/>
  <c r="H21" i="12"/>
  <c r="G21" i="12"/>
  <c r="K20" i="12"/>
  <c r="K19" i="12" s="1"/>
  <c r="J20" i="12"/>
  <c r="K15" i="12"/>
  <c r="J15" i="12"/>
  <c r="H79" i="12" l="1"/>
  <c r="I34" i="12"/>
  <c r="I28" i="12" s="1"/>
  <c r="G28" i="12" s="1"/>
  <c r="H28" i="12" s="1"/>
  <c r="L46" i="12"/>
  <c r="M46" i="12" s="1"/>
  <c r="M50" i="12"/>
  <c r="I76" i="12"/>
  <c r="I69" i="12" s="1"/>
  <c r="G69" i="12" s="1"/>
  <c r="H69" i="12" s="1"/>
  <c r="M21" i="12"/>
  <c r="L28" i="12"/>
  <c r="L19" i="12" s="1"/>
  <c r="M19" i="12" s="1"/>
  <c r="L38" i="12"/>
  <c r="H62" i="12"/>
  <c r="J55" i="12"/>
  <c r="G38" i="12"/>
  <c r="H38" i="12" s="1"/>
  <c r="I64" i="12"/>
  <c r="I61" i="12" s="1"/>
  <c r="L61" i="12"/>
  <c r="L60" i="12" s="1"/>
  <c r="K86" i="12"/>
  <c r="I22" i="12"/>
  <c r="H33" i="12"/>
  <c r="J14" i="12"/>
  <c r="H73" i="12"/>
  <c r="J19" i="12"/>
  <c r="K14" i="12"/>
  <c r="L78" i="12"/>
  <c r="M78" i="12" s="1"/>
  <c r="L82" i="12"/>
  <c r="M82" i="12" s="1"/>
  <c r="I20" i="12"/>
  <c r="I86" i="12"/>
  <c r="I82" i="12"/>
  <c r="G82" i="12" s="1"/>
  <c r="H82" i="12" s="1"/>
  <c r="L86" i="12"/>
  <c r="I46" i="12"/>
  <c r="G46" i="12" s="1"/>
  <c r="H46" i="12" s="1"/>
  <c r="K9" i="12"/>
  <c r="H24" i="12"/>
  <c r="M29" i="12"/>
  <c r="H36" i="12"/>
  <c r="H44" i="12"/>
  <c r="H48" i="12"/>
  <c r="H53" i="12"/>
  <c r="H66" i="12"/>
  <c r="M67" i="12"/>
  <c r="H70" i="12"/>
  <c r="M88" i="12"/>
  <c r="H90" i="12"/>
  <c r="H89" i="12" s="1"/>
  <c r="M83" i="12"/>
  <c r="G89" i="12"/>
  <c r="H26" i="12"/>
  <c r="H30" i="12"/>
  <c r="K60" i="12"/>
  <c r="H72" i="12"/>
  <c r="H23" i="12"/>
  <c r="H35" i="12"/>
  <c r="H39" i="12"/>
  <c r="H43" i="12"/>
  <c r="M48" i="12"/>
  <c r="H65" i="12"/>
  <c r="M70" i="12"/>
  <c r="H84" i="12"/>
  <c r="M90" i="12"/>
  <c r="H93" i="12"/>
  <c r="H32" i="12"/>
  <c r="H74" i="12"/>
  <c r="G92" i="12"/>
  <c r="H92" i="12" s="1"/>
  <c r="H25" i="12"/>
  <c r="H29" i="12"/>
  <c r="H67" i="12"/>
  <c r="H71" i="12"/>
  <c r="H88" i="12"/>
  <c r="H87" i="12" s="1"/>
  <c r="G87" i="12"/>
  <c r="M86" i="12" l="1"/>
  <c r="G86" i="12"/>
  <c r="H86" i="12" s="1"/>
  <c r="J9" i="12"/>
  <c r="M60" i="12"/>
  <c r="G61" i="12"/>
  <c r="I60" i="12"/>
  <c r="I19" i="12"/>
  <c r="G20" i="12"/>
  <c r="H61" i="12" l="1"/>
  <c r="G60" i="12"/>
  <c r="H60" i="12" s="1"/>
  <c r="H20" i="12"/>
  <c r="G19" i="12"/>
  <c r="H19" i="12" s="1"/>
  <c r="N398" i="11" l="1"/>
  <c r="O398" i="11" s="1"/>
  <c r="G398" i="11"/>
  <c r="I398" i="11" s="1"/>
  <c r="K397" i="11"/>
  <c r="J397" i="11"/>
  <c r="N395" i="11"/>
  <c r="O395" i="11" s="1"/>
  <c r="G395" i="11"/>
  <c r="I395" i="11" s="1"/>
  <c r="O393" i="11"/>
  <c r="N393" i="11"/>
  <c r="H393" i="11"/>
  <c r="G393" i="11"/>
  <c r="I393" i="11" s="1"/>
  <c r="N391" i="11"/>
  <c r="O391" i="11" s="1"/>
  <c r="G391" i="11"/>
  <c r="I391" i="11" s="1"/>
  <c r="K389" i="11"/>
  <c r="J389" i="11"/>
  <c r="O387" i="11"/>
  <c r="N387" i="11"/>
  <c r="G387" i="11"/>
  <c r="I387" i="11" s="1"/>
  <c r="N386" i="11"/>
  <c r="O386" i="11" s="1"/>
  <c r="G386" i="11"/>
  <c r="H386" i="11" s="1"/>
  <c r="N385" i="11"/>
  <c r="O385" i="11" s="1"/>
  <c r="H385" i="11"/>
  <c r="G385" i="11"/>
  <c r="I385" i="11" s="1"/>
  <c r="N384" i="11"/>
  <c r="N383" i="11" s="1"/>
  <c r="O383" i="11" s="1"/>
  <c r="G384" i="11"/>
  <c r="I384" i="11" s="1"/>
  <c r="K383" i="11"/>
  <c r="K379" i="11" s="1"/>
  <c r="J383" i="11"/>
  <c r="N381" i="11"/>
  <c r="O381" i="11" s="1"/>
  <c r="G381" i="11"/>
  <c r="J379" i="11"/>
  <c r="O377" i="11"/>
  <c r="N377" i="11"/>
  <c r="I377" i="11"/>
  <c r="I376" i="11" s="1"/>
  <c r="G377" i="11"/>
  <c r="H377" i="11" s="1"/>
  <c r="N376" i="11"/>
  <c r="N375" i="11" s="1"/>
  <c r="K376" i="11"/>
  <c r="K375" i="11" s="1"/>
  <c r="O375" i="11" s="1"/>
  <c r="J376" i="11"/>
  <c r="J375" i="11" s="1"/>
  <c r="N373" i="11"/>
  <c r="O373" i="11" s="1"/>
  <c r="G373" i="11"/>
  <c r="K372" i="11"/>
  <c r="K371" i="11" s="1"/>
  <c r="J372" i="11"/>
  <c r="N371" i="11"/>
  <c r="J371" i="11"/>
  <c r="N369" i="11"/>
  <c r="O369" i="11" s="1"/>
  <c r="L369" i="11"/>
  <c r="G369" i="11"/>
  <c r="N368" i="11"/>
  <c r="O368" i="11" s="1"/>
  <c r="G368" i="11"/>
  <c r="I368" i="11" s="1"/>
  <c r="K367" i="11"/>
  <c r="J367" i="11"/>
  <c r="N366" i="11"/>
  <c r="O366" i="11" s="1"/>
  <c r="G366" i="11"/>
  <c r="I366" i="11" s="1"/>
  <c r="N365" i="11"/>
  <c r="O365" i="11" s="1"/>
  <c r="G365" i="11"/>
  <c r="I365" i="11" s="1"/>
  <c r="N364" i="11"/>
  <c r="O364" i="11" s="1"/>
  <c r="G364" i="11"/>
  <c r="I364" i="11" s="1"/>
  <c r="N363" i="11"/>
  <c r="O363" i="11" s="1"/>
  <c r="G363" i="11"/>
  <c r="N362" i="11"/>
  <c r="O362" i="11" s="1"/>
  <c r="G362" i="11"/>
  <c r="I362" i="11" s="1"/>
  <c r="N361" i="11"/>
  <c r="O361" i="11" s="1"/>
  <c r="G361" i="11"/>
  <c r="I361" i="11" s="1"/>
  <c r="N360" i="11"/>
  <c r="O360" i="11" s="1"/>
  <c r="G360" i="11"/>
  <c r="I360" i="11" s="1"/>
  <c r="N359" i="11"/>
  <c r="O359" i="11" s="1"/>
  <c r="G359" i="11"/>
  <c r="I359" i="11" s="1"/>
  <c r="K358" i="11"/>
  <c r="J358" i="11"/>
  <c r="N357" i="11"/>
  <c r="O357" i="11" s="1"/>
  <c r="G357" i="11"/>
  <c r="N356" i="11"/>
  <c r="O356" i="11" s="1"/>
  <c r="G356" i="11"/>
  <c r="I356" i="11" s="1"/>
  <c r="K355" i="11"/>
  <c r="J355" i="11"/>
  <c r="N354" i="11"/>
  <c r="O354" i="11" s="1"/>
  <c r="G354" i="11"/>
  <c r="I354" i="11" s="1"/>
  <c r="N353" i="11"/>
  <c r="O353" i="11" s="1"/>
  <c r="G353" i="11"/>
  <c r="I353" i="11" s="1"/>
  <c r="I352" i="11" s="1"/>
  <c r="K352" i="11"/>
  <c r="J352" i="11"/>
  <c r="N348" i="11"/>
  <c r="N347" i="11" s="1"/>
  <c r="L348" i="11"/>
  <c r="I348" i="11"/>
  <c r="I347" i="11" s="1"/>
  <c r="H348" i="11"/>
  <c r="G348" i="11"/>
  <c r="K347" i="11"/>
  <c r="J347" i="11"/>
  <c r="N345" i="11"/>
  <c r="O345" i="11" s="1"/>
  <c r="G345" i="11"/>
  <c r="I345" i="11" s="1"/>
  <c r="N344" i="11"/>
  <c r="G344" i="11"/>
  <c r="I344" i="11" s="1"/>
  <c r="N343" i="11"/>
  <c r="O343" i="11" s="1"/>
  <c r="G343" i="11"/>
  <c r="N342" i="11"/>
  <c r="O342" i="11" s="1"/>
  <c r="G342" i="11"/>
  <c r="I342" i="11" s="1"/>
  <c r="K341" i="11"/>
  <c r="J341" i="11"/>
  <c r="N339" i="11"/>
  <c r="O339" i="11" s="1"/>
  <c r="G339" i="11"/>
  <c r="I339" i="11" s="1"/>
  <c r="N338" i="11"/>
  <c r="O338" i="11" s="1"/>
  <c r="G338" i="11"/>
  <c r="I338" i="11" s="1"/>
  <c r="N337" i="11"/>
  <c r="O337" i="11" s="1"/>
  <c r="G337" i="11"/>
  <c r="I337" i="11" s="1"/>
  <c r="N336" i="11"/>
  <c r="O336" i="11" s="1"/>
  <c r="G336" i="11"/>
  <c r="N335" i="11"/>
  <c r="O335" i="11" s="1"/>
  <c r="G335" i="11"/>
  <c r="I335" i="11" s="1"/>
  <c r="N334" i="11"/>
  <c r="O334" i="11" s="1"/>
  <c r="G334" i="11"/>
  <c r="I334" i="11" s="1"/>
  <c r="N333" i="11"/>
  <c r="O333" i="11" s="1"/>
  <c r="G333" i="11"/>
  <c r="I333" i="11" s="1"/>
  <c r="N332" i="11"/>
  <c r="O332" i="11" s="1"/>
  <c r="G332" i="11"/>
  <c r="H332" i="11" s="1"/>
  <c r="N331" i="11"/>
  <c r="O331" i="11" s="1"/>
  <c r="G331" i="11"/>
  <c r="I331" i="11" s="1"/>
  <c r="N330" i="11"/>
  <c r="O330" i="11" s="1"/>
  <c r="G330" i="11"/>
  <c r="I330" i="11" s="1"/>
  <c r="N329" i="11"/>
  <c r="O329" i="11" s="1"/>
  <c r="G329" i="11"/>
  <c r="I329" i="11" s="1"/>
  <c r="N328" i="11"/>
  <c r="O328" i="11" s="1"/>
  <c r="G328" i="11"/>
  <c r="N327" i="11"/>
  <c r="O327" i="11" s="1"/>
  <c r="G327" i="11"/>
  <c r="I327" i="11" s="1"/>
  <c r="N326" i="11"/>
  <c r="O326" i="11" s="1"/>
  <c r="G326" i="11"/>
  <c r="I326" i="11" s="1"/>
  <c r="N325" i="11"/>
  <c r="O325" i="11" s="1"/>
  <c r="G325" i="11"/>
  <c r="I325" i="11" s="1"/>
  <c r="N324" i="11"/>
  <c r="O324" i="11" s="1"/>
  <c r="G324" i="11"/>
  <c r="H324" i="11" s="1"/>
  <c r="N323" i="11"/>
  <c r="O323" i="11" s="1"/>
  <c r="G323" i="11"/>
  <c r="I323" i="11" s="1"/>
  <c r="N322" i="11"/>
  <c r="O322" i="11" s="1"/>
  <c r="G322" i="11"/>
  <c r="I322" i="11" s="1"/>
  <c r="N321" i="11"/>
  <c r="O321" i="11" s="1"/>
  <c r="G321" i="11"/>
  <c r="I321" i="11" s="1"/>
  <c r="N320" i="11"/>
  <c r="O320" i="11" s="1"/>
  <c r="G320" i="11"/>
  <c r="N319" i="11"/>
  <c r="O319" i="11" s="1"/>
  <c r="G319" i="11"/>
  <c r="I319" i="11" s="1"/>
  <c r="N318" i="11"/>
  <c r="O318" i="11" s="1"/>
  <c r="G318" i="11"/>
  <c r="I318" i="11" s="1"/>
  <c r="N317" i="11"/>
  <c r="O317" i="11" s="1"/>
  <c r="G317" i="11"/>
  <c r="I317" i="11" s="1"/>
  <c r="N316" i="11"/>
  <c r="O316" i="11" s="1"/>
  <c r="G316" i="11"/>
  <c r="H316" i="11" s="1"/>
  <c r="N315" i="11"/>
  <c r="O315" i="11" s="1"/>
  <c r="G315" i="11"/>
  <c r="I315" i="11" s="1"/>
  <c r="N314" i="11"/>
  <c r="O314" i="11" s="1"/>
  <c r="G314" i="11"/>
  <c r="I314" i="11" s="1"/>
  <c r="K313" i="11"/>
  <c r="J313" i="11"/>
  <c r="N311" i="11"/>
  <c r="O311" i="11" s="1"/>
  <c r="G311" i="11"/>
  <c r="H311" i="11" s="1"/>
  <c r="N310" i="11"/>
  <c r="O310" i="11" s="1"/>
  <c r="G310" i="11"/>
  <c r="I310" i="11" s="1"/>
  <c r="N309" i="11"/>
  <c r="G309" i="11"/>
  <c r="H309" i="11" s="1"/>
  <c r="K308" i="11"/>
  <c r="J308" i="11"/>
  <c r="N306" i="11"/>
  <c r="O306" i="11" s="1"/>
  <c r="G306" i="11"/>
  <c r="N305" i="11"/>
  <c r="O305" i="11" s="1"/>
  <c r="G305" i="11"/>
  <c r="I305" i="11" s="1"/>
  <c r="N304" i="11"/>
  <c r="O304" i="11" s="1"/>
  <c r="G304" i="11"/>
  <c r="I304" i="11" s="1"/>
  <c r="N303" i="11"/>
  <c r="O303" i="11" s="1"/>
  <c r="G303" i="11"/>
  <c r="I303" i="11" s="1"/>
  <c r="N302" i="11"/>
  <c r="O302" i="11" s="1"/>
  <c r="G302" i="11"/>
  <c r="H302" i="11" s="1"/>
  <c r="N301" i="11"/>
  <c r="O301" i="11" s="1"/>
  <c r="G301" i="11"/>
  <c r="H301" i="11" s="1"/>
  <c r="N300" i="11"/>
  <c r="O300" i="11" s="1"/>
  <c r="G300" i="11"/>
  <c r="I300" i="11" s="1"/>
  <c r="N299" i="11"/>
  <c r="O299" i="11" s="1"/>
  <c r="G299" i="11"/>
  <c r="H299" i="11" s="1"/>
  <c r="N298" i="11"/>
  <c r="O298" i="11" s="1"/>
  <c r="G298" i="11"/>
  <c r="N297" i="11"/>
  <c r="O297" i="11" s="1"/>
  <c r="G297" i="11"/>
  <c r="I297" i="11" s="1"/>
  <c r="N296" i="11"/>
  <c r="O296" i="11" s="1"/>
  <c r="G296" i="11"/>
  <c r="I296" i="11" s="1"/>
  <c r="N295" i="11"/>
  <c r="O295" i="11" s="1"/>
  <c r="G295" i="11"/>
  <c r="I295" i="11" s="1"/>
  <c r="N294" i="11"/>
  <c r="O294" i="11" s="1"/>
  <c r="G294" i="11"/>
  <c r="H294" i="11" s="1"/>
  <c r="N293" i="11"/>
  <c r="O293" i="11" s="1"/>
  <c r="G293" i="11"/>
  <c r="H293" i="11" s="1"/>
  <c r="N292" i="11"/>
  <c r="O292" i="11" s="1"/>
  <c r="G292" i="11"/>
  <c r="I292" i="11" s="1"/>
  <c r="N291" i="11"/>
  <c r="O291" i="11" s="1"/>
  <c r="G291" i="11"/>
  <c r="H291" i="11" s="1"/>
  <c r="N290" i="11"/>
  <c r="O290" i="11" s="1"/>
  <c r="G290" i="11"/>
  <c r="N289" i="11"/>
  <c r="O289" i="11" s="1"/>
  <c r="G289" i="11"/>
  <c r="I289" i="11" s="1"/>
  <c r="N288" i="11"/>
  <c r="O288" i="11" s="1"/>
  <c r="G288" i="11"/>
  <c r="I288" i="11" s="1"/>
  <c r="N287" i="11"/>
  <c r="O287" i="11" s="1"/>
  <c r="G287" i="11"/>
  <c r="I287" i="11" s="1"/>
  <c r="N286" i="11"/>
  <c r="O286" i="11" s="1"/>
  <c r="G286" i="11"/>
  <c r="H286" i="11" s="1"/>
  <c r="N285" i="11"/>
  <c r="O285" i="11" s="1"/>
  <c r="G285" i="11"/>
  <c r="H285" i="11" s="1"/>
  <c r="N284" i="11"/>
  <c r="O284" i="11" s="1"/>
  <c r="G284" i="11"/>
  <c r="I284" i="11" s="1"/>
  <c r="N283" i="11"/>
  <c r="O283" i="11" s="1"/>
  <c r="G283" i="11"/>
  <c r="H283" i="11" s="1"/>
  <c r="N282" i="11"/>
  <c r="O282" i="11" s="1"/>
  <c r="G282" i="11"/>
  <c r="N281" i="11"/>
  <c r="O281" i="11" s="1"/>
  <c r="G281" i="11"/>
  <c r="I281" i="11" s="1"/>
  <c r="N280" i="11"/>
  <c r="O280" i="11" s="1"/>
  <c r="G280" i="11"/>
  <c r="I280" i="11" s="1"/>
  <c r="N279" i="11"/>
  <c r="O279" i="11" s="1"/>
  <c r="G279" i="11"/>
  <c r="I279" i="11" s="1"/>
  <c r="N278" i="11"/>
  <c r="O278" i="11" s="1"/>
  <c r="G278" i="11"/>
  <c r="H278" i="11" s="1"/>
  <c r="N277" i="11"/>
  <c r="O277" i="11" s="1"/>
  <c r="G277" i="11"/>
  <c r="H277" i="11" s="1"/>
  <c r="N276" i="11"/>
  <c r="O276" i="11" s="1"/>
  <c r="G276" i="11"/>
  <c r="I276" i="11" s="1"/>
  <c r="N275" i="11"/>
  <c r="O275" i="11" s="1"/>
  <c r="G275" i="11"/>
  <c r="I275" i="11" s="1"/>
  <c r="N274" i="11"/>
  <c r="O274" i="11" s="1"/>
  <c r="G274" i="11"/>
  <c r="N273" i="11"/>
  <c r="O273" i="11" s="1"/>
  <c r="G273" i="11"/>
  <c r="I273" i="11" s="1"/>
  <c r="N272" i="11"/>
  <c r="O272" i="11" s="1"/>
  <c r="G272" i="11"/>
  <c r="I272" i="11" s="1"/>
  <c r="N271" i="11"/>
  <c r="O271" i="11" s="1"/>
  <c r="G271" i="11"/>
  <c r="I271" i="11" s="1"/>
  <c r="N270" i="11"/>
  <c r="O270" i="11" s="1"/>
  <c r="G270" i="11"/>
  <c r="H270" i="11" s="1"/>
  <c r="K269" i="11"/>
  <c r="J269" i="11"/>
  <c r="N267" i="11"/>
  <c r="O267" i="11" s="1"/>
  <c r="G267" i="11"/>
  <c r="N266" i="11"/>
  <c r="O266" i="11" s="1"/>
  <c r="G266" i="11"/>
  <c r="I266" i="11" s="1"/>
  <c r="N265" i="11"/>
  <c r="G265" i="11"/>
  <c r="I265" i="11" s="1"/>
  <c r="K264" i="11"/>
  <c r="J264" i="11"/>
  <c r="O262" i="11"/>
  <c r="N262" i="11"/>
  <c r="G262" i="11"/>
  <c r="I262" i="11" s="1"/>
  <c r="N261" i="11"/>
  <c r="O261" i="11" s="1"/>
  <c r="G261" i="11"/>
  <c r="H261" i="11" s="1"/>
  <c r="N260" i="11"/>
  <c r="O260" i="11" s="1"/>
  <c r="G260" i="11"/>
  <c r="N259" i="11"/>
  <c r="O259" i="11" s="1"/>
  <c r="G259" i="11"/>
  <c r="I259" i="11" s="1"/>
  <c r="N258" i="11"/>
  <c r="G258" i="11"/>
  <c r="I258" i="11" s="1"/>
  <c r="K257" i="11"/>
  <c r="J257" i="11"/>
  <c r="N255" i="11"/>
  <c r="O255" i="11" s="1"/>
  <c r="G255" i="11"/>
  <c r="I255" i="11" s="1"/>
  <c r="N254" i="11"/>
  <c r="O254" i="11" s="1"/>
  <c r="G254" i="11"/>
  <c r="H254" i="11" s="1"/>
  <c r="N253" i="11"/>
  <c r="O253" i="11" s="1"/>
  <c r="G253" i="11"/>
  <c r="N252" i="11"/>
  <c r="O252" i="11" s="1"/>
  <c r="G252" i="11"/>
  <c r="I252" i="11" s="1"/>
  <c r="N251" i="11"/>
  <c r="G251" i="11"/>
  <c r="H251" i="11" s="1"/>
  <c r="N250" i="11"/>
  <c r="O250" i="11" s="1"/>
  <c r="G250" i="11"/>
  <c r="I250" i="11" s="1"/>
  <c r="K249" i="11"/>
  <c r="J249" i="11"/>
  <c r="N247" i="11"/>
  <c r="G247" i="11"/>
  <c r="I247" i="11" s="1"/>
  <c r="N246" i="11"/>
  <c r="O246" i="11" s="1"/>
  <c r="G246" i="11"/>
  <c r="N245" i="11"/>
  <c r="O245" i="11" s="1"/>
  <c r="G245" i="11"/>
  <c r="I245" i="11" s="1"/>
  <c r="K244" i="11"/>
  <c r="J244" i="11"/>
  <c r="N242" i="11"/>
  <c r="N241" i="11" s="1"/>
  <c r="I242" i="11"/>
  <c r="I241" i="11" s="1"/>
  <c r="G241" i="11" s="1"/>
  <c r="H241" i="11" s="1"/>
  <c r="G242" i="11"/>
  <c r="H242" i="11" s="1"/>
  <c r="K241" i="11"/>
  <c r="J241" i="11"/>
  <c r="N239" i="11"/>
  <c r="O239" i="11" s="1"/>
  <c r="G239" i="11"/>
  <c r="I239" i="11" s="1"/>
  <c r="N238" i="11"/>
  <c r="O238" i="11" s="1"/>
  <c r="G238" i="11"/>
  <c r="I238" i="11" s="1"/>
  <c r="N237" i="11"/>
  <c r="O237" i="11" s="1"/>
  <c r="G237" i="11"/>
  <c r="I237" i="11" s="1"/>
  <c r="N236" i="11"/>
  <c r="O236" i="11" s="1"/>
  <c r="G236" i="11"/>
  <c r="H236" i="11" s="1"/>
  <c r="N235" i="11"/>
  <c r="O235" i="11" s="1"/>
  <c r="G235" i="11"/>
  <c r="I235" i="11" s="1"/>
  <c r="N234" i="11"/>
  <c r="O234" i="11" s="1"/>
  <c r="G234" i="11"/>
  <c r="I234" i="11" s="1"/>
  <c r="N233" i="11"/>
  <c r="O233" i="11" s="1"/>
  <c r="G233" i="11"/>
  <c r="I233" i="11" s="1"/>
  <c r="N232" i="11"/>
  <c r="O232" i="11" s="1"/>
  <c r="G232" i="11"/>
  <c r="N231" i="11"/>
  <c r="O231" i="11" s="1"/>
  <c r="G231" i="11"/>
  <c r="I231" i="11" s="1"/>
  <c r="N230" i="11"/>
  <c r="O230" i="11" s="1"/>
  <c r="G230" i="11"/>
  <c r="I230" i="11" s="1"/>
  <c r="N229" i="11"/>
  <c r="O229" i="11" s="1"/>
  <c r="G229" i="11"/>
  <c r="I229" i="11" s="1"/>
  <c r="N228" i="11"/>
  <c r="O228" i="11" s="1"/>
  <c r="G228" i="11"/>
  <c r="H228" i="11" s="1"/>
  <c r="N227" i="11"/>
  <c r="O227" i="11" s="1"/>
  <c r="G227" i="11"/>
  <c r="I227" i="11" s="1"/>
  <c r="N226" i="11"/>
  <c r="O226" i="11" s="1"/>
  <c r="G226" i="11"/>
  <c r="I226" i="11" s="1"/>
  <c r="N225" i="11"/>
  <c r="O225" i="11" s="1"/>
  <c r="G225" i="11"/>
  <c r="I225" i="11" s="1"/>
  <c r="N224" i="11"/>
  <c r="O224" i="11" s="1"/>
  <c r="G224" i="11"/>
  <c r="N223" i="11"/>
  <c r="O223" i="11" s="1"/>
  <c r="G223" i="11"/>
  <c r="I223" i="11" s="1"/>
  <c r="N222" i="11"/>
  <c r="O222" i="11" s="1"/>
  <c r="G222" i="11"/>
  <c r="I222" i="11" s="1"/>
  <c r="N221" i="11"/>
  <c r="O221" i="11" s="1"/>
  <c r="G221" i="11"/>
  <c r="I221" i="11" s="1"/>
  <c r="N220" i="11"/>
  <c r="O220" i="11" s="1"/>
  <c r="K220" i="11"/>
  <c r="J220" i="11"/>
  <c r="G220" i="11"/>
  <c r="I220" i="11" s="1"/>
  <c r="K219" i="11"/>
  <c r="J219" i="11"/>
  <c r="N219" i="11" s="1"/>
  <c r="O219" i="11" s="1"/>
  <c r="G219" i="11"/>
  <c r="I219" i="11" s="1"/>
  <c r="K218" i="11"/>
  <c r="J218" i="11"/>
  <c r="G218" i="11"/>
  <c r="H218" i="11" s="1"/>
  <c r="N217" i="11"/>
  <c r="O217" i="11" s="1"/>
  <c r="G217" i="11"/>
  <c r="I217" i="11" s="1"/>
  <c r="K216" i="11"/>
  <c r="J216" i="11"/>
  <c r="N216" i="11" s="1"/>
  <c r="O216" i="11" s="1"/>
  <c r="G216" i="11"/>
  <c r="K215" i="11"/>
  <c r="J215" i="11"/>
  <c r="N215" i="11" s="1"/>
  <c r="O215" i="11" s="1"/>
  <c r="G215" i="11"/>
  <c r="N214" i="11"/>
  <c r="O214" i="11" s="1"/>
  <c r="K214" i="11"/>
  <c r="J214" i="11"/>
  <c r="G214" i="11"/>
  <c r="I214" i="11" s="1"/>
  <c r="N213" i="11"/>
  <c r="O213" i="11" s="1"/>
  <c r="K213" i="11"/>
  <c r="J213" i="11"/>
  <c r="G213" i="11"/>
  <c r="I213" i="11" s="1"/>
  <c r="N212" i="11"/>
  <c r="K212" i="11"/>
  <c r="J212" i="11"/>
  <c r="G212" i="11"/>
  <c r="H212" i="11" s="1"/>
  <c r="K211" i="11"/>
  <c r="J211" i="11"/>
  <c r="G211" i="11"/>
  <c r="H211" i="11" s="1"/>
  <c r="N210" i="11"/>
  <c r="O210" i="11" s="1"/>
  <c r="K210" i="11"/>
  <c r="J210" i="11"/>
  <c r="G210" i="11"/>
  <c r="H210" i="11" s="1"/>
  <c r="K209" i="11"/>
  <c r="J209" i="11"/>
  <c r="N209" i="11" s="1"/>
  <c r="G209" i="11"/>
  <c r="H209" i="11" s="1"/>
  <c r="N206" i="11"/>
  <c r="O206" i="11" s="1"/>
  <c r="G206" i="11"/>
  <c r="N205" i="11"/>
  <c r="G205" i="11"/>
  <c r="I205" i="11" s="1"/>
  <c r="K204" i="11"/>
  <c r="J204" i="11"/>
  <c r="N202" i="11"/>
  <c r="O202" i="11" s="1"/>
  <c r="L202" i="11"/>
  <c r="G202" i="11"/>
  <c r="H202" i="11" s="1"/>
  <c r="N201" i="11"/>
  <c r="O201" i="11" s="1"/>
  <c r="G201" i="11"/>
  <c r="H201" i="11" s="1"/>
  <c r="N200" i="11"/>
  <c r="O200" i="11" s="1"/>
  <c r="G200" i="11"/>
  <c r="I200" i="11" s="1"/>
  <c r="N199" i="11"/>
  <c r="O199" i="11" s="1"/>
  <c r="G199" i="11"/>
  <c r="I199" i="11" s="1"/>
  <c r="N198" i="11"/>
  <c r="O198" i="11" s="1"/>
  <c r="G198" i="11"/>
  <c r="I198" i="11" s="1"/>
  <c r="N197" i="11"/>
  <c r="O197" i="11" s="1"/>
  <c r="G197" i="11"/>
  <c r="I197" i="11" s="1"/>
  <c r="N196" i="11"/>
  <c r="O196" i="11" s="1"/>
  <c r="G196" i="11"/>
  <c r="N195" i="11"/>
  <c r="O195" i="11" s="1"/>
  <c r="G195" i="11"/>
  <c r="I195" i="11" s="1"/>
  <c r="N194" i="11"/>
  <c r="O194" i="11" s="1"/>
  <c r="G194" i="11"/>
  <c r="H194" i="11" s="1"/>
  <c r="N193" i="11"/>
  <c r="O193" i="11" s="1"/>
  <c r="G193" i="11"/>
  <c r="H193" i="11" s="1"/>
  <c r="N192" i="11"/>
  <c r="O192" i="11" s="1"/>
  <c r="G192" i="11"/>
  <c r="I192" i="11" s="1"/>
  <c r="N191" i="11"/>
  <c r="O191" i="11" s="1"/>
  <c r="G191" i="11"/>
  <c r="I191" i="11" s="1"/>
  <c r="N190" i="11"/>
  <c r="O190" i="11" s="1"/>
  <c r="G190" i="11"/>
  <c r="I190" i="11" s="1"/>
  <c r="N189" i="11"/>
  <c r="O189" i="11" s="1"/>
  <c r="G189" i="11"/>
  <c r="I189" i="11" s="1"/>
  <c r="N188" i="11"/>
  <c r="O188" i="11" s="1"/>
  <c r="G188" i="11"/>
  <c r="N187" i="11"/>
  <c r="O187" i="11" s="1"/>
  <c r="G187" i="11"/>
  <c r="I187" i="11" s="1"/>
  <c r="N186" i="11"/>
  <c r="O186" i="11" s="1"/>
  <c r="G186" i="11"/>
  <c r="H186" i="11" s="1"/>
  <c r="K185" i="11"/>
  <c r="J185" i="11"/>
  <c r="O183" i="11"/>
  <c r="N179" i="11"/>
  <c r="O179" i="11" s="1"/>
  <c r="L179" i="11"/>
  <c r="G179" i="11"/>
  <c r="I179" i="11" s="1"/>
  <c r="I178" i="11" s="1"/>
  <c r="G178" i="11" s="1"/>
  <c r="H178" i="11" s="1"/>
  <c r="K178" i="11"/>
  <c r="J178" i="11"/>
  <c r="N176" i="11"/>
  <c r="O176" i="11" s="1"/>
  <c r="G176" i="11"/>
  <c r="I176" i="11" s="1"/>
  <c r="N174" i="11"/>
  <c r="O174" i="11" s="1"/>
  <c r="G174" i="11"/>
  <c r="I174" i="11" s="1"/>
  <c r="N173" i="11"/>
  <c r="O173" i="11" s="1"/>
  <c r="G173" i="11"/>
  <c r="I173" i="11" s="1"/>
  <c r="K172" i="11"/>
  <c r="J172" i="11"/>
  <c r="K171" i="11"/>
  <c r="J171" i="11"/>
  <c r="O169" i="11"/>
  <c r="N169" i="11"/>
  <c r="L169" i="11"/>
  <c r="G169" i="11"/>
  <c r="I169" i="11" s="1"/>
  <c r="N168" i="11"/>
  <c r="O168" i="11" s="1"/>
  <c r="G168" i="11"/>
  <c r="I168" i="11" s="1"/>
  <c r="N167" i="11"/>
  <c r="K167" i="11"/>
  <c r="K164" i="11" s="1"/>
  <c r="J167" i="11"/>
  <c r="J164" i="11" s="1"/>
  <c r="N166" i="11"/>
  <c r="O166" i="11" s="1"/>
  <c r="G166" i="11"/>
  <c r="I166" i="11" s="1"/>
  <c r="K161" i="11"/>
  <c r="J161" i="11"/>
  <c r="K159" i="11"/>
  <c r="K158" i="11" s="1"/>
  <c r="J159" i="11"/>
  <c r="N159" i="11" s="1"/>
  <c r="O159" i="11" s="1"/>
  <c r="G159" i="11"/>
  <c r="H159" i="11" s="1"/>
  <c r="N156" i="11"/>
  <c r="G156" i="11"/>
  <c r="I156" i="11" s="1"/>
  <c r="N155" i="11"/>
  <c r="O155" i="11" s="1"/>
  <c r="G155" i="11"/>
  <c r="I155" i="11" s="1"/>
  <c r="K154" i="11"/>
  <c r="J154" i="11"/>
  <c r="N153" i="11"/>
  <c r="G153" i="11"/>
  <c r="I153" i="11" s="1"/>
  <c r="N152" i="11"/>
  <c r="O152" i="11" s="1"/>
  <c r="G152" i="11"/>
  <c r="I152" i="11" s="1"/>
  <c r="K151" i="11"/>
  <c r="J151" i="11"/>
  <c r="J147" i="11" s="1"/>
  <c r="N150" i="11"/>
  <c r="N149" i="11" s="1"/>
  <c r="G150" i="11"/>
  <c r="I150" i="11" s="1"/>
  <c r="I149" i="11" s="1"/>
  <c r="K149" i="11"/>
  <c r="K147" i="11" s="1"/>
  <c r="J149" i="11"/>
  <c r="N145" i="11"/>
  <c r="O145" i="11" s="1"/>
  <c r="G145" i="11"/>
  <c r="H145" i="11" s="1"/>
  <c r="N144" i="11"/>
  <c r="O144" i="11" s="1"/>
  <c r="G144" i="11"/>
  <c r="I144" i="11" s="1"/>
  <c r="N143" i="11"/>
  <c r="K143" i="11"/>
  <c r="J143" i="11"/>
  <c r="N141" i="11"/>
  <c r="N140" i="11" s="1"/>
  <c r="G141" i="11"/>
  <c r="H141" i="11" s="1"/>
  <c r="K140" i="11"/>
  <c r="J140" i="11"/>
  <c r="N138" i="11"/>
  <c r="O138" i="11" s="1"/>
  <c r="G138" i="11"/>
  <c r="I138" i="11" s="1"/>
  <c r="N137" i="11"/>
  <c r="O137" i="11" s="1"/>
  <c r="G137" i="11"/>
  <c r="H137" i="11" s="1"/>
  <c r="N136" i="11"/>
  <c r="O136" i="11" s="1"/>
  <c r="G136" i="11"/>
  <c r="I136" i="11" s="1"/>
  <c r="N135" i="11"/>
  <c r="O135" i="11" s="1"/>
  <c r="G135" i="11"/>
  <c r="I135" i="11" s="1"/>
  <c r="N134" i="11"/>
  <c r="O134" i="11" s="1"/>
  <c r="G134" i="11"/>
  <c r="I134" i="11" s="1"/>
  <c r="N133" i="11"/>
  <c r="O133" i="11" s="1"/>
  <c r="G133" i="11"/>
  <c r="I133" i="11" s="1"/>
  <c r="N132" i="11"/>
  <c r="O132" i="11" s="1"/>
  <c r="G132" i="11"/>
  <c r="I132" i="11" s="1"/>
  <c r="N131" i="11"/>
  <c r="O131" i="11" s="1"/>
  <c r="G131" i="11"/>
  <c r="I131" i="11" s="1"/>
  <c r="N130" i="11"/>
  <c r="O130" i="11" s="1"/>
  <c r="G130" i="11"/>
  <c r="I130" i="11" s="1"/>
  <c r="N129" i="11"/>
  <c r="O129" i="11" s="1"/>
  <c r="G129" i="11"/>
  <c r="H129" i="11" s="1"/>
  <c r="N128" i="11"/>
  <c r="O128" i="11" s="1"/>
  <c r="G128" i="11"/>
  <c r="I128" i="11" s="1"/>
  <c r="N127" i="11"/>
  <c r="O127" i="11" s="1"/>
  <c r="G127" i="11"/>
  <c r="I127" i="11" s="1"/>
  <c r="N126" i="11"/>
  <c r="O126" i="11" s="1"/>
  <c r="G126" i="11"/>
  <c r="H126" i="11" s="1"/>
  <c r="N125" i="11"/>
  <c r="O125" i="11" s="1"/>
  <c r="G125" i="11"/>
  <c r="I125" i="11" s="1"/>
  <c r="N124" i="11"/>
  <c r="O124" i="11" s="1"/>
  <c r="G124" i="11"/>
  <c r="I124" i="11" s="1"/>
  <c r="N123" i="11"/>
  <c r="O123" i="11" s="1"/>
  <c r="G123" i="11"/>
  <c r="I123" i="11" s="1"/>
  <c r="N122" i="11"/>
  <c r="O122" i="11" s="1"/>
  <c r="G122" i="11"/>
  <c r="I122" i="11" s="1"/>
  <c r="N121" i="11"/>
  <c r="O121" i="11" s="1"/>
  <c r="G121" i="11"/>
  <c r="H121" i="11" s="1"/>
  <c r="N120" i="11"/>
  <c r="O120" i="11" s="1"/>
  <c r="G120" i="11"/>
  <c r="I120" i="11" s="1"/>
  <c r="N119" i="11"/>
  <c r="O119" i="11" s="1"/>
  <c r="G119" i="11"/>
  <c r="I119" i="11" s="1"/>
  <c r="N118" i="11"/>
  <c r="O118" i="11" s="1"/>
  <c r="G118" i="11"/>
  <c r="I118" i="11" s="1"/>
  <c r="N117" i="11"/>
  <c r="O117" i="11" s="1"/>
  <c r="G117" i="11"/>
  <c r="I117" i="11" s="1"/>
  <c r="N116" i="11"/>
  <c r="O116" i="11" s="1"/>
  <c r="G116" i="11"/>
  <c r="I116" i="11" s="1"/>
  <c r="N115" i="11"/>
  <c r="O115" i="11" s="1"/>
  <c r="G115" i="11"/>
  <c r="I115" i="11" s="1"/>
  <c r="N114" i="11"/>
  <c r="O114" i="11" s="1"/>
  <c r="G114" i="11"/>
  <c r="I114" i="11" s="1"/>
  <c r="N113" i="11"/>
  <c r="O113" i="11" s="1"/>
  <c r="G113" i="11"/>
  <c r="H113" i="11" s="1"/>
  <c r="N112" i="11"/>
  <c r="O112" i="11" s="1"/>
  <c r="G112" i="11"/>
  <c r="I112" i="11" s="1"/>
  <c r="K111" i="11"/>
  <c r="J111" i="11"/>
  <c r="N109" i="11"/>
  <c r="O109" i="11" s="1"/>
  <c r="G109" i="11"/>
  <c r="H109" i="11" s="1"/>
  <c r="N108" i="11"/>
  <c r="O108" i="11" s="1"/>
  <c r="G108" i="11"/>
  <c r="I108" i="11" s="1"/>
  <c r="O107" i="11"/>
  <c r="N107" i="11"/>
  <c r="G107" i="11"/>
  <c r="I107" i="11" s="1"/>
  <c r="N106" i="11"/>
  <c r="N105" i="11" s="1"/>
  <c r="G106" i="11"/>
  <c r="I106" i="11" s="1"/>
  <c r="K105" i="11"/>
  <c r="J105" i="11"/>
  <c r="N103" i="11"/>
  <c r="O103" i="11" s="1"/>
  <c r="G103" i="11"/>
  <c r="I103" i="11" s="1"/>
  <c r="N102" i="11"/>
  <c r="O102" i="11" s="1"/>
  <c r="G102" i="11"/>
  <c r="I102" i="11" s="1"/>
  <c r="N101" i="11"/>
  <c r="O101" i="11" s="1"/>
  <c r="G101" i="11"/>
  <c r="H101" i="11" s="1"/>
  <c r="N100" i="11"/>
  <c r="O100" i="11" s="1"/>
  <c r="G100" i="11"/>
  <c r="I100" i="11" s="1"/>
  <c r="N99" i="11"/>
  <c r="O99" i="11" s="1"/>
  <c r="G99" i="11"/>
  <c r="I99" i="11" s="1"/>
  <c r="N98" i="11"/>
  <c r="O98" i="11" s="1"/>
  <c r="G98" i="11"/>
  <c r="I98" i="11" s="1"/>
  <c r="N97" i="11"/>
  <c r="O97" i="11" s="1"/>
  <c r="G97" i="11"/>
  <c r="H97" i="11" s="1"/>
  <c r="N96" i="11"/>
  <c r="O96" i="11" s="1"/>
  <c r="G96" i="11"/>
  <c r="I96" i="11" s="1"/>
  <c r="N95" i="11"/>
  <c r="O95" i="11" s="1"/>
  <c r="G95" i="11"/>
  <c r="I95" i="11" s="1"/>
  <c r="N94" i="11"/>
  <c r="O94" i="11" s="1"/>
  <c r="G94" i="11"/>
  <c r="I94" i="11" s="1"/>
  <c r="N93" i="11"/>
  <c r="O93" i="11" s="1"/>
  <c r="G93" i="11"/>
  <c r="I93" i="11" s="1"/>
  <c r="N92" i="11"/>
  <c r="O92" i="11" s="1"/>
  <c r="G92" i="11"/>
  <c r="I92" i="11" s="1"/>
  <c r="N91" i="11"/>
  <c r="O91" i="11" s="1"/>
  <c r="G91" i="11"/>
  <c r="I91" i="11" s="1"/>
  <c r="N90" i="11"/>
  <c r="O90" i="11" s="1"/>
  <c r="G90" i="11"/>
  <c r="I90" i="11" s="1"/>
  <c r="N89" i="11"/>
  <c r="O89" i="11" s="1"/>
  <c r="G89" i="11"/>
  <c r="H89" i="11" s="1"/>
  <c r="N88" i="11"/>
  <c r="O88" i="11" s="1"/>
  <c r="G88" i="11"/>
  <c r="I88" i="11" s="1"/>
  <c r="N87" i="11"/>
  <c r="O87" i="11" s="1"/>
  <c r="G87" i="11"/>
  <c r="I87" i="11" s="1"/>
  <c r="N86" i="11"/>
  <c r="O86" i="11" s="1"/>
  <c r="G86" i="11"/>
  <c r="I86" i="11" s="1"/>
  <c r="N85" i="11"/>
  <c r="O85" i="11" s="1"/>
  <c r="G85" i="11"/>
  <c r="I85" i="11" s="1"/>
  <c r="N84" i="11"/>
  <c r="O84" i="11" s="1"/>
  <c r="G84" i="11"/>
  <c r="I84" i="11" s="1"/>
  <c r="N83" i="11"/>
  <c r="O83" i="11" s="1"/>
  <c r="G83" i="11"/>
  <c r="I83" i="11" s="1"/>
  <c r="N82" i="11"/>
  <c r="O82" i="11" s="1"/>
  <c r="G82" i="11"/>
  <c r="I82" i="11" s="1"/>
  <c r="N81" i="11"/>
  <c r="O81" i="11" s="1"/>
  <c r="G81" i="11"/>
  <c r="H81" i="11" s="1"/>
  <c r="N80" i="11"/>
  <c r="O80" i="11" s="1"/>
  <c r="G80" i="11"/>
  <c r="I80" i="11" s="1"/>
  <c r="N79" i="11"/>
  <c r="O79" i="11" s="1"/>
  <c r="G79" i="11"/>
  <c r="I79" i="11" s="1"/>
  <c r="N78" i="11"/>
  <c r="O78" i="11" s="1"/>
  <c r="G78" i="11"/>
  <c r="I78" i="11" s="1"/>
  <c r="N77" i="11"/>
  <c r="O77" i="11" s="1"/>
  <c r="G77" i="11"/>
  <c r="I77" i="11" s="1"/>
  <c r="N76" i="11"/>
  <c r="O76" i="11" s="1"/>
  <c r="G76" i="11"/>
  <c r="I76" i="11" s="1"/>
  <c r="N75" i="11"/>
  <c r="O75" i="11" s="1"/>
  <c r="G75" i="11"/>
  <c r="I75" i="11" s="1"/>
  <c r="N74" i="11"/>
  <c r="O74" i="11" s="1"/>
  <c r="G74" i="11"/>
  <c r="I74" i="11" s="1"/>
  <c r="N73" i="11"/>
  <c r="O73" i="11" s="1"/>
  <c r="G73" i="11"/>
  <c r="H73" i="11" s="1"/>
  <c r="N72" i="11"/>
  <c r="O72" i="11" s="1"/>
  <c r="G72" i="11"/>
  <c r="I72" i="11" s="1"/>
  <c r="N71" i="11"/>
  <c r="O71" i="11" s="1"/>
  <c r="G71" i="11"/>
  <c r="I71" i="11" s="1"/>
  <c r="K70" i="11"/>
  <c r="J70" i="11"/>
  <c r="N68" i="11"/>
  <c r="O68" i="11" s="1"/>
  <c r="G68" i="11"/>
  <c r="I68" i="11" s="1"/>
  <c r="O67" i="11"/>
  <c r="N67" i="11"/>
  <c r="G67" i="11"/>
  <c r="I67" i="11" s="1"/>
  <c r="N66" i="11"/>
  <c r="G66" i="11"/>
  <c r="I66" i="11" s="1"/>
  <c r="K65" i="11"/>
  <c r="J65" i="11"/>
  <c r="N63" i="11"/>
  <c r="O63" i="11" s="1"/>
  <c r="G63" i="11"/>
  <c r="I63" i="11" s="1"/>
  <c r="O62" i="11"/>
  <c r="N62" i="11"/>
  <c r="G62" i="11"/>
  <c r="I62" i="11" s="1"/>
  <c r="N61" i="11"/>
  <c r="O61" i="11" s="1"/>
  <c r="G61" i="11"/>
  <c r="I61" i="11" s="1"/>
  <c r="N60" i="11"/>
  <c r="N59" i="11" s="1"/>
  <c r="G60" i="11"/>
  <c r="H60" i="11" s="1"/>
  <c r="K59" i="11"/>
  <c r="J59" i="11"/>
  <c r="O57" i="11"/>
  <c r="N57" i="11"/>
  <c r="G57" i="11"/>
  <c r="I57" i="11" s="1"/>
  <c r="N56" i="11"/>
  <c r="O56" i="11" s="1"/>
  <c r="G56" i="11"/>
  <c r="I56" i="11" s="1"/>
  <c r="O55" i="11"/>
  <c r="N55" i="11"/>
  <c r="G55" i="11"/>
  <c r="I55" i="11" s="1"/>
  <c r="N54" i="11"/>
  <c r="O54" i="11" s="1"/>
  <c r="G54" i="11"/>
  <c r="I54" i="11" s="1"/>
  <c r="N53" i="11"/>
  <c r="G53" i="11"/>
  <c r="H53" i="11" s="1"/>
  <c r="K52" i="11"/>
  <c r="J52" i="11"/>
  <c r="N50" i="11"/>
  <c r="O50" i="11" s="1"/>
  <c r="G50" i="11"/>
  <c r="I50" i="11" s="1"/>
  <c r="N49" i="11"/>
  <c r="O49" i="11" s="1"/>
  <c r="G49" i="11"/>
  <c r="H49" i="11" s="1"/>
  <c r="N48" i="11"/>
  <c r="O48" i="11" s="1"/>
  <c r="G48" i="11"/>
  <c r="I48" i="11" s="1"/>
  <c r="O47" i="11"/>
  <c r="N47" i="11"/>
  <c r="G47" i="11"/>
  <c r="I47" i="11" s="1"/>
  <c r="N46" i="11"/>
  <c r="G46" i="11"/>
  <c r="I46" i="11" s="1"/>
  <c r="K45" i="11"/>
  <c r="J45" i="11"/>
  <c r="N43" i="11"/>
  <c r="O43" i="11" s="1"/>
  <c r="G43" i="11"/>
  <c r="I43" i="11" s="1"/>
  <c r="N42" i="11"/>
  <c r="O42" i="11" s="1"/>
  <c r="G42" i="11"/>
  <c r="I42" i="11" s="1"/>
  <c r="N41" i="11"/>
  <c r="O41" i="11" s="1"/>
  <c r="G41" i="11"/>
  <c r="I41" i="11" s="1"/>
  <c r="N40" i="11"/>
  <c r="O40" i="11" s="1"/>
  <c r="G40" i="11"/>
  <c r="H40" i="11" s="1"/>
  <c r="N39" i="11"/>
  <c r="O39" i="11" s="1"/>
  <c r="G39" i="11"/>
  <c r="I39" i="11" s="1"/>
  <c r="N38" i="11"/>
  <c r="O38" i="11" s="1"/>
  <c r="G38" i="11"/>
  <c r="I38" i="11" s="1"/>
  <c r="N37" i="11"/>
  <c r="O37" i="11" s="1"/>
  <c r="G37" i="11"/>
  <c r="H37" i="11" s="1"/>
  <c r="N36" i="11"/>
  <c r="O36" i="11" s="1"/>
  <c r="G36" i="11"/>
  <c r="I36" i="11" s="1"/>
  <c r="N35" i="11"/>
  <c r="O35" i="11" s="1"/>
  <c r="G35" i="11"/>
  <c r="I35" i="11" s="1"/>
  <c r="N34" i="11"/>
  <c r="O34" i="11" s="1"/>
  <c r="G34" i="11"/>
  <c r="I34" i="11" s="1"/>
  <c r="N33" i="11"/>
  <c r="O33" i="11" s="1"/>
  <c r="G33" i="11"/>
  <c r="H33" i="11" s="1"/>
  <c r="N32" i="11"/>
  <c r="O32" i="11" s="1"/>
  <c r="G32" i="11"/>
  <c r="I32" i="11" s="1"/>
  <c r="N31" i="11"/>
  <c r="G31" i="11"/>
  <c r="H31" i="11" s="1"/>
  <c r="N30" i="11"/>
  <c r="O30" i="11" s="1"/>
  <c r="G30" i="11"/>
  <c r="I30" i="11" s="1"/>
  <c r="K29" i="11"/>
  <c r="J29" i="11"/>
  <c r="N27" i="11"/>
  <c r="O27" i="11" s="1"/>
  <c r="G27" i="11"/>
  <c r="H27" i="11" s="1"/>
  <c r="N26" i="11"/>
  <c r="O26" i="11" s="1"/>
  <c r="G26" i="11"/>
  <c r="I26" i="11" s="1"/>
  <c r="N25" i="11"/>
  <c r="G25" i="11"/>
  <c r="H25" i="11" s="1"/>
  <c r="K24" i="11"/>
  <c r="J24" i="11"/>
  <c r="N22" i="11"/>
  <c r="O22" i="11" s="1"/>
  <c r="G22" i="11"/>
  <c r="I22" i="11" s="1"/>
  <c r="I21" i="11" s="1"/>
  <c r="N21" i="11"/>
  <c r="K21" i="11"/>
  <c r="J21" i="11"/>
  <c r="N19" i="11"/>
  <c r="O19" i="11" s="1"/>
  <c r="G19" i="11"/>
  <c r="H19" i="11" s="1"/>
  <c r="N18" i="11"/>
  <c r="O18" i="11" s="1"/>
  <c r="G18" i="11"/>
  <c r="I18" i="11" s="1"/>
  <c r="N17" i="11"/>
  <c r="O17" i="11" s="1"/>
  <c r="G17" i="11"/>
  <c r="H17" i="11" s="1"/>
  <c r="N16" i="11"/>
  <c r="O16" i="11" s="1"/>
  <c r="G16" i="11"/>
  <c r="I16" i="11" s="1"/>
  <c r="N15" i="11"/>
  <c r="O15" i="11" s="1"/>
  <c r="G15" i="11"/>
  <c r="I15" i="11" s="1"/>
  <c r="N14" i="11"/>
  <c r="O14" i="11" s="1"/>
  <c r="I14" i="11"/>
  <c r="H14" i="11"/>
  <c r="G14" i="11"/>
  <c r="K13" i="11"/>
  <c r="J13" i="11"/>
  <c r="I65" i="11" l="1"/>
  <c r="G65" i="11" s="1"/>
  <c r="H65" i="11" s="1"/>
  <c r="H238" i="11"/>
  <c r="H345" i="11"/>
  <c r="I210" i="11"/>
  <c r="H86" i="11"/>
  <c r="I291" i="11"/>
  <c r="I25" i="11"/>
  <c r="H42" i="11"/>
  <c r="H62" i="11"/>
  <c r="I209" i="11"/>
  <c r="I285" i="11"/>
  <c r="I101" i="11"/>
  <c r="I294" i="11"/>
  <c r="N313" i="11"/>
  <c r="O313" i="11" s="1"/>
  <c r="I53" i="11"/>
  <c r="I60" i="11"/>
  <c r="I97" i="11"/>
  <c r="I254" i="11"/>
  <c r="I278" i="11"/>
  <c r="I301" i="11"/>
  <c r="I309" i="11"/>
  <c r="H117" i="11"/>
  <c r="H187" i="11"/>
  <c r="I299" i="11"/>
  <c r="H61" i="11"/>
  <c r="I109" i="11"/>
  <c r="H217" i="11"/>
  <c r="H255" i="11"/>
  <c r="I283" i="11"/>
  <c r="I302" i="11"/>
  <c r="H366" i="11"/>
  <c r="I37" i="11"/>
  <c r="H77" i="11"/>
  <c r="H84" i="11"/>
  <c r="H222" i="11"/>
  <c r="I286" i="11"/>
  <c r="I293" i="11"/>
  <c r="H360" i="11"/>
  <c r="H41" i="11"/>
  <c r="H102" i="11"/>
  <c r="H220" i="11"/>
  <c r="I277" i="11"/>
  <c r="I311" i="11"/>
  <c r="I126" i="11"/>
  <c r="H195" i="11"/>
  <c r="H205" i="11"/>
  <c r="I261" i="11"/>
  <c r="I270" i="11"/>
  <c r="H354" i="11"/>
  <c r="H364" i="11"/>
  <c r="I251" i="11"/>
  <c r="H326" i="11"/>
  <c r="I33" i="11"/>
  <c r="I40" i="11"/>
  <c r="I81" i="11"/>
  <c r="H90" i="11"/>
  <c r="H138" i="11"/>
  <c r="I49" i="11"/>
  <c r="I45" i="11" s="1"/>
  <c r="G45" i="11" s="1"/>
  <c r="H45" i="11" s="1"/>
  <c r="I73" i="11"/>
  <c r="H85" i="11"/>
  <c r="H94" i="11"/>
  <c r="I121" i="11"/>
  <c r="H124" i="11"/>
  <c r="H133" i="11"/>
  <c r="N29" i="11"/>
  <c r="H50" i="11"/>
  <c r="H54" i="11"/>
  <c r="H57" i="11"/>
  <c r="H98" i="11"/>
  <c r="H92" i="11"/>
  <c r="I113" i="11"/>
  <c r="H179" i="11"/>
  <c r="H191" i="11"/>
  <c r="H198" i="11"/>
  <c r="H200" i="11"/>
  <c r="I218" i="11"/>
  <c r="N249" i="11"/>
  <c r="O249" i="11" s="1"/>
  <c r="I386" i="11"/>
  <c r="H38" i="11"/>
  <c r="H106" i="11"/>
  <c r="H122" i="11"/>
  <c r="I129" i="11"/>
  <c r="N151" i="11"/>
  <c r="N147" i="11" s="1"/>
  <c r="O147" i="11" s="1"/>
  <c r="N154" i="11"/>
  <c r="I193" i="11"/>
  <c r="H225" i="11"/>
  <c r="H227" i="11"/>
  <c r="H234" i="11"/>
  <c r="H258" i="11"/>
  <c r="H280" i="11"/>
  <c r="H296" i="11"/>
  <c r="N308" i="11"/>
  <c r="O308" i="11" s="1"/>
  <c r="H315" i="11"/>
  <c r="H322" i="11"/>
  <c r="H329" i="11"/>
  <c r="H331" i="11"/>
  <c r="H338" i="11"/>
  <c r="H344" i="11"/>
  <c r="O384" i="11"/>
  <c r="H391" i="11"/>
  <c r="N13" i="11"/>
  <c r="I17" i="11"/>
  <c r="J11" i="11"/>
  <c r="O31" i="11"/>
  <c r="H46" i="11"/>
  <c r="H66" i="11"/>
  <c r="H82" i="11"/>
  <c r="I89" i="11"/>
  <c r="H125" i="11"/>
  <c r="H132" i="11"/>
  <c r="H134" i="11"/>
  <c r="O150" i="11"/>
  <c r="O153" i="11"/>
  <c r="O156" i="11"/>
  <c r="H176" i="11"/>
  <c r="I215" i="11"/>
  <c r="N218" i="11"/>
  <c r="I236" i="11"/>
  <c r="H276" i="11"/>
  <c r="H292" i="11"/>
  <c r="O309" i="11"/>
  <c r="I324" i="11"/>
  <c r="N352" i="11"/>
  <c r="J350" i="11"/>
  <c r="H365" i="11"/>
  <c r="K11" i="11"/>
  <c r="J158" i="11"/>
  <c r="O371" i="11"/>
  <c r="N24" i="11"/>
  <c r="H32" i="11"/>
  <c r="H34" i="11"/>
  <c r="N45" i="11"/>
  <c r="I52" i="11"/>
  <c r="G52" i="11" s="1"/>
  <c r="H52" i="11" s="1"/>
  <c r="I59" i="11"/>
  <c r="G59" i="11" s="1"/>
  <c r="H59" i="11" s="1"/>
  <c r="N65" i="11"/>
  <c r="H76" i="11"/>
  <c r="O106" i="11"/>
  <c r="H116" i="11"/>
  <c r="H118" i="11"/>
  <c r="H130" i="11"/>
  <c r="I137" i="11"/>
  <c r="I141" i="11"/>
  <c r="I140" i="11" s="1"/>
  <c r="G140" i="11" s="1"/>
  <c r="H140" i="11" s="1"/>
  <c r="I145" i="11"/>
  <c r="I143" i="11" s="1"/>
  <c r="G143" i="11" s="1"/>
  <c r="H143" i="11" s="1"/>
  <c r="H190" i="11"/>
  <c r="H192" i="11"/>
  <c r="H199" i="11"/>
  <c r="H230" i="11"/>
  <c r="O241" i="11"/>
  <c r="H265" i="11"/>
  <c r="H318" i="11"/>
  <c r="H334" i="11"/>
  <c r="G347" i="11"/>
  <c r="H347" i="11" s="1"/>
  <c r="H353" i="11"/>
  <c r="K350" i="11"/>
  <c r="H361" i="11"/>
  <c r="O46" i="11"/>
  <c r="N52" i="11"/>
  <c r="H56" i="11"/>
  <c r="O66" i="11"/>
  <c r="H78" i="11"/>
  <c r="I201" i="11"/>
  <c r="I212" i="11"/>
  <c r="H214" i="11"/>
  <c r="H226" i="11"/>
  <c r="H233" i="11"/>
  <c r="H235" i="11"/>
  <c r="O242" i="11"/>
  <c r="H272" i="11"/>
  <c r="H288" i="11"/>
  <c r="H304" i="11"/>
  <c r="H314" i="11"/>
  <c r="H321" i="11"/>
  <c r="H323" i="11"/>
  <c r="H330" i="11"/>
  <c r="H337" i="11"/>
  <c r="H339" i="11"/>
  <c r="H18" i="11"/>
  <c r="H22" i="11"/>
  <c r="H26" i="11"/>
  <c r="H30" i="11"/>
  <c r="H74" i="11"/>
  <c r="H93" i="11"/>
  <c r="H100" i="11"/>
  <c r="H114" i="11"/>
  <c r="H152" i="11"/>
  <c r="H155" i="11"/>
  <c r="I228" i="11"/>
  <c r="H247" i="11"/>
  <c r="H262" i="11"/>
  <c r="N264" i="11"/>
  <c r="O264" i="11" s="1"/>
  <c r="H275" i="11"/>
  <c r="H284" i="11"/>
  <c r="H300" i="11"/>
  <c r="I316" i="11"/>
  <c r="I332" i="11"/>
  <c r="O347" i="11"/>
  <c r="N111" i="11"/>
  <c r="I159" i="11"/>
  <c r="I158" i="11" s="1"/>
  <c r="G158" i="11" s="1"/>
  <c r="H158" i="11" s="1"/>
  <c r="J9" i="11"/>
  <c r="O348" i="11"/>
  <c r="I167" i="11"/>
  <c r="G167" i="11" s="1"/>
  <c r="H167" i="11" s="1"/>
  <c r="I105" i="11"/>
  <c r="G105" i="11" s="1"/>
  <c r="H105" i="11" s="1"/>
  <c r="G149" i="11"/>
  <c r="H149" i="11" s="1"/>
  <c r="K9" i="11"/>
  <c r="I151" i="11"/>
  <c r="G151" i="11" s="1"/>
  <c r="H151" i="11" s="1"/>
  <c r="I154" i="11"/>
  <c r="G154" i="11" s="1"/>
  <c r="H154" i="11" s="1"/>
  <c r="I172" i="11"/>
  <c r="G172" i="11" s="1"/>
  <c r="H172" i="11" s="1"/>
  <c r="I171" i="11"/>
  <c r="G171" i="11" s="1"/>
  <c r="H171" i="11" s="1"/>
  <c r="G21" i="11"/>
  <c r="H21" i="11" s="1"/>
  <c r="I290" i="11"/>
  <c r="H290" i="11"/>
  <c r="H55" i="11"/>
  <c r="H75" i="11"/>
  <c r="H83" i="11"/>
  <c r="H91" i="11"/>
  <c r="H115" i="11"/>
  <c r="H123" i="11"/>
  <c r="H131" i="11"/>
  <c r="H150" i="11"/>
  <c r="H153" i="11"/>
  <c r="H156" i="11"/>
  <c r="H166" i="11"/>
  <c r="N172" i="11"/>
  <c r="O172" i="11" s="1"/>
  <c r="H174" i="11"/>
  <c r="N185" i="11"/>
  <c r="O209" i="11"/>
  <c r="O212" i="11"/>
  <c r="I216" i="11"/>
  <c r="H216" i="11"/>
  <c r="O352" i="11"/>
  <c r="I274" i="11"/>
  <c r="H274" i="11"/>
  <c r="O344" i="11"/>
  <c r="N341" i="11"/>
  <c r="O341" i="11" s="1"/>
  <c r="H39" i="11"/>
  <c r="H99" i="11"/>
  <c r="H16" i="11"/>
  <c r="I19" i="11"/>
  <c r="I13" i="11" s="1"/>
  <c r="O25" i="11"/>
  <c r="I27" i="11"/>
  <c r="I24" i="11" s="1"/>
  <c r="G24" i="11" s="1"/>
  <c r="H24" i="11" s="1"/>
  <c r="I31" i="11"/>
  <c r="I29" i="11" s="1"/>
  <c r="G29" i="11" s="1"/>
  <c r="H29" i="11" s="1"/>
  <c r="H36" i="11"/>
  <c r="H48" i="11"/>
  <c r="O53" i="11"/>
  <c r="H68" i="11"/>
  <c r="H72" i="11"/>
  <c r="H80" i="11"/>
  <c r="H88" i="11"/>
  <c r="H96" i="11"/>
  <c r="H108" i="11"/>
  <c r="H112" i="11"/>
  <c r="H120" i="11"/>
  <c r="H128" i="11"/>
  <c r="H136" i="11"/>
  <c r="O141" i="11"/>
  <c r="H144" i="11"/>
  <c r="H169" i="11"/>
  <c r="O247" i="11"/>
  <c r="N244" i="11"/>
  <c r="O244" i="11" s="1"/>
  <c r="G352" i="11"/>
  <c r="H352" i="11" s="1"/>
  <c r="I363" i="11"/>
  <c r="I358" i="11" s="1"/>
  <c r="G358" i="11" s="1"/>
  <c r="H358" i="11" s="1"/>
  <c r="H363" i="11"/>
  <c r="O60" i="11"/>
  <c r="N70" i="11"/>
  <c r="N11" i="11" s="1"/>
  <c r="O11" i="11" s="1"/>
  <c r="O167" i="11"/>
  <c r="I188" i="11"/>
  <c r="H188" i="11"/>
  <c r="I196" i="11"/>
  <c r="H196" i="11"/>
  <c r="I211" i="11"/>
  <c r="N211" i="11"/>
  <c r="O211" i="11" s="1"/>
  <c r="I260" i="11"/>
  <c r="I257" i="11" s="1"/>
  <c r="G257" i="11" s="1"/>
  <c r="H257" i="11" s="1"/>
  <c r="H260" i="11"/>
  <c r="I328" i="11"/>
  <c r="H328" i="11"/>
  <c r="I343" i="11"/>
  <c r="I341" i="11" s="1"/>
  <c r="G341" i="11" s="1"/>
  <c r="H341" i="11" s="1"/>
  <c r="H343" i="11"/>
  <c r="I381" i="11"/>
  <c r="I379" i="11" s="1"/>
  <c r="G379" i="11" s="1"/>
  <c r="H379" i="11" s="1"/>
  <c r="H381" i="11"/>
  <c r="I224" i="11"/>
  <c r="H224" i="11"/>
  <c r="H173" i="11"/>
  <c r="I186" i="11"/>
  <c r="I194" i="11"/>
  <c r="I202" i="11"/>
  <c r="O218" i="11"/>
  <c r="I232" i="11"/>
  <c r="H232" i="11"/>
  <c r="I282" i="11"/>
  <c r="H282" i="11"/>
  <c r="I298" i="11"/>
  <c r="H298" i="11"/>
  <c r="I206" i="11"/>
  <c r="I204" i="11" s="1"/>
  <c r="G204" i="11" s="1"/>
  <c r="H204" i="11" s="1"/>
  <c r="H206" i="11"/>
  <c r="I306" i="11"/>
  <c r="H306" i="11"/>
  <c r="H15" i="11"/>
  <c r="H35" i="11"/>
  <c r="H43" i="11"/>
  <c r="H47" i="11"/>
  <c r="H63" i="11"/>
  <c r="H67" i="11"/>
  <c r="H71" i="11"/>
  <c r="H79" i="11"/>
  <c r="H87" i="11"/>
  <c r="H95" i="11"/>
  <c r="H103" i="11"/>
  <c r="H107" i="11"/>
  <c r="H119" i="11"/>
  <c r="H127" i="11"/>
  <c r="H135" i="11"/>
  <c r="H168" i="11"/>
  <c r="J208" i="11"/>
  <c r="J183" i="11" s="1"/>
  <c r="J181" i="11" s="1"/>
  <c r="J8" i="11" s="1"/>
  <c r="I246" i="11"/>
  <c r="I244" i="11" s="1"/>
  <c r="G244" i="11" s="1"/>
  <c r="H244" i="11" s="1"/>
  <c r="H246" i="11"/>
  <c r="N269" i="11"/>
  <c r="O269" i="11" s="1"/>
  <c r="I369" i="11"/>
  <c r="I367" i="11" s="1"/>
  <c r="G367" i="11" s="1"/>
  <c r="H367" i="11" s="1"/>
  <c r="H369" i="11"/>
  <c r="I373" i="11"/>
  <c r="I372" i="11" s="1"/>
  <c r="I371" i="11" s="1"/>
  <c r="G371" i="11" s="1"/>
  <c r="H371" i="11" s="1"/>
  <c r="H373" i="11"/>
  <c r="H189" i="11"/>
  <c r="H197" i="11"/>
  <c r="N204" i="11"/>
  <c r="O204" i="11" s="1"/>
  <c r="O205" i="11"/>
  <c r="I253" i="11"/>
  <c r="H253" i="11"/>
  <c r="N257" i="11"/>
  <c r="O257" i="11" s="1"/>
  <c r="I267" i="11"/>
  <c r="I264" i="11" s="1"/>
  <c r="G264" i="11" s="1"/>
  <c r="H264" i="11" s="1"/>
  <c r="H267" i="11"/>
  <c r="I320" i="11"/>
  <c r="H320" i="11"/>
  <c r="I336" i="11"/>
  <c r="H336" i="11"/>
  <c r="I357" i="11"/>
  <c r="I355" i="11" s="1"/>
  <c r="H357" i="11"/>
  <c r="I383" i="11"/>
  <c r="G383" i="11" s="1"/>
  <c r="H383" i="11" s="1"/>
  <c r="N355" i="11"/>
  <c r="O355" i="11" s="1"/>
  <c r="N367" i="11"/>
  <c r="O367" i="11" s="1"/>
  <c r="H215" i="11"/>
  <c r="H221" i="11"/>
  <c r="H229" i="11"/>
  <c r="H237" i="11"/>
  <c r="H250" i="11"/>
  <c r="O251" i="11"/>
  <c r="O258" i="11"/>
  <c r="O265" i="11"/>
  <c r="H271" i="11"/>
  <c r="H279" i="11"/>
  <c r="H287" i="11"/>
  <c r="H295" i="11"/>
  <c r="H303" i="11"/>
  <c r="H310" i="11"/>
  <c r="H317" i="11"/>
  <c r="H325" i="11"/>
  <c r="H333" i="11"/>
  <c r="N358" i="11"/>
  <c r="O358" i="11" s="1"/>
  <c r="H213" i="11"/>
  <c r="H219" i="11"/>
  <c r="H223" i="11"/>
  <c r="H231" i="11"/>
  <c r="H239" i="11"/>
  <c r="H245" i="11"/>
  <c r="H252" i="11"/>
  <c r="H259" i="11"/>
  <c r="H266" i="11"/>
  <c r="H273" i="11"/>
  <c r="H281" i="11"/>
  <c r="H289" i="11"/>
  <c r="H297" i="11"/>
  <c r="H305" i="11"/>
  <c r="H319" i="11"/>
  <c r="H327" i="11"/>
  <c r="H335" i="11"/>
  <c r="H342" i="11"/>
  <c r="H356" i="11"/>
  <c r="H362" i="11"/>
  <c r="H368" i="11"/>
  <c r="H387" i="11"/>
  <c r="H398" i="11"/>
  <c r="H359" i="11"/>
  <c r="O376" i="11"/>
  <c r="H384" i="11"/>
  <c r="H395" i="11"/>
  <c r="I249" i="11" l="1"/>
  <c r="G249" i="11" s="1"/>
  <c r="H249" i="11" s="1"/>
  <c r="I308" i="11"/>
  <c r="G308" i="11" s="1"/>
  <c r="H308" i="11" s="1"/>
  <c r="I70" i="11"/>
  <c r="G70" i="11" s="1"/>
  <c r="H70" i="11" s="1"/>
  <c r="I111" i="11"/>
  <c r="G111" i="11" s="1"/>
  <c r="H111" i="11" s="1"/>
  <c r="I269" i="11"/>
  <c r="G269" i="11" s="1"/>
  <c r="H269" i="11" s="1"/>
  <c r="I208" i="11"/>
  <c r="G208" i="11" s="1"/>
  <c r="H208" i="11" s="1"/>
  <c r="I313" i="11"/>
  <c r="G313" i="11" s="1"/>
  <c r="H313" i="11" s="1"/>
  <c r="I185" i="11"/>
  <c r="G185" i="11" s="1"/>
  <c r="H185" i="11" s="1"/>
  <c r="I164" i="11"/>
  <c r="G164" i="11" s="1"/>
  <c r="H164" i="11" s="1"/>
  <c r="G13" i="11"/>
  <c r="H13" i="11" s="1"/>
  <c r="G355" i="11"/>
  <c r="H355" i="11" s="1"/>
  <c r="I350" i="11"/>
  <c r="G350" i="11" s="1"/>
  <c r="H350" i="11" s="1"/>
  <c r="N208" i="11"/>
  <c r="N183" i="11" s="1"/>
  <c r="I147" i="11"/>
  <c r="G147" i="11" s="1"/>
  <c r="H147" i="11" s="1"/>
  <c r="N350" i="11"/>
  <c r="O350" i="11" s="1"/>
  <c r="O185" i="11"/>
  <c r="I11" i="11" l="1"/>
  <c r="G11" i="11" s="1"/>
  <c r="H11" i="11" s="1"/>
  <c r="I183" i="11"/>
  <c r="G183" i="11" s="1"/>
  <c r="H183" i="11" s="1"/>
  <c r="L12" i="9"/>
  <c r="M12" i="9" s="1"/>
  <c r="L10" i="9"/>
  <c r="M10" i="9" s="1"/>
  <c r="G12" i="9"/>
  <c r="G10" i="9"/>
  <c r="K11" i="9"/>
  <c r="J11" i="9"/>
  <c r="L9" i="9" l="1"/>
  <c r="L11" i="9"/>
  <c r="M11" i="9" s="1"/>
  <c r="I12" i="9"/>
  <c r="I11" i="9" s="1"/>
  <c r="H12" i="9"/>
  <c r="I10" i="9"/>
  <c r="I9" i="9" s="1"/>
  <c r="I8" i="9" s="1"/>
  <c r="H10" i="9"/>
  <c r="J9" i="9"/>
  <c r="J8" i="9" s="1"/>
  <c r="G8" i="9" s="1"/>
  <c r="H8" i="9" s="1"/>
  <c r="K9" i="9"/>
  <c r="K8" i="9" s="1"/>
  <c r="L8" i="9" l="1"/>
  <c r="M8" i="9" s="1"/>
  <c r="M9" i="9"/>
  <c r="O208" i="11" l="1"/>
  <c r="K208" i="11"/>
  <c r="K183" i="11"/>
  <c r="K181" i="11"/>
  <c r="K8" i="11"/>
</calcChain>
</file>

<file path=xl/sharedStrings.xml><?xml version="1.0" encoding="utf-8"?>
<sst xmlns="http://schemas.openxmlformats.org/spreadsheetml/2006/main" count="499" uniqueCount="331">
  <si>
    <t>CAJA DE SEGURO SOCIAL</t>
  </si>
  <si>
    <t>DEPARTAMENTO DE TESORERIA</t>
  </si>
  <si>
    <t>(EN BALBOAS)</t>
  </si>
  <si>
    <t>EMISIÓN</t>
  </si>
  <si>
    <t>VALOR NEGOCIADO</t>
  </si>
  <si>
    <t>TOTAL</t>
  </si>
  <si>
    <t xml:space="preserve">VALOR NOMINAL </t>
  </si>
  <si>
    <t>BONOS GLOBALES Pma 2050</t>
  </si>
  <si>
    <t>US698299BH68-04-1-2018</t>
  </si>
  <si>
    <t>BANCO NACIONAL DE PANAMA     PAL3000411D0-01-09-2019</t>
  </si>
  <si>
    <t>BONO ROTATIVO</t>
  </si>
  <si>
    <t>AL 31 DE JULIO  DE 2024</t>
  </si>
  <si>
    <t>FECHA</t>
  </si>
  <si>
    <t>DÍAS</t>
  </si>
  <si>
    <t>AL 31 DE JULIO DE 2024</t>
  </si>
  <si>
    <t>COMPONENTE DE AHORRO PERSONAL</t>
  </si>
  <si>
    <t xml:space="preserve">BONOS GLOBALES </t>
  </si>
  <si>
    <t>BONOS GLOBALES 2026</t>
  </si>
  <si>
    <t>US698299AV61-10-02-2008</t>
  </si>
  <si>
    <t>US698299AV61-10-09-2008</t>
  </si>
  <si>
    <t>US698299AV61-10-06-2008</t>
  </si>
  <si>
    <t>US698299AV61-10-10-2009</t>
  </si>
  <si>
    <t>US698299AV61-01-11-2009</t>
  </si>
  <si>
    <t>US698299AV61-01-12-2009</t>
  </si>
  <si>
    <t>BONOS GLOBALES 2027</t>
  </si>
  <si>
    <t>US698299AD62-10-01-2008</t>
  </si>
  <si>
    <t>BONOS GLOBALES 2032</t>
  </si>
  <si>
    <t>US698299BN37-01-01-2021</t>
  </si>
  <si>
    <t>US698299BN37-02-05-2021</t>
  </si>
  <si>
    <t>US698299BN37-03-05-2021</t>
  </si>
  <si>
    <t>BONOS GLOBALES 2036</t>
  </si>
  <si>
    <t>US698299AW45-07-01-2009</t>
  </si>
  <si>
    <t>US698299AW45-07-02-2009</t>
  </si>
  <si>
    <t>US698299AW45-02-16-2010</t>
  </si>
  <si>
    <t>US698299AW45-07-05-2009</t>
  </si>
  <si>
    <t>US698299AW45-01-07-2009</t>
  </si>
  <si>
    <t>US698299AW45-04-09-2009</t>
  </si>
  <si>
    <t>US698299AW45-06-11-2009</t>
  </si>
  <si>
    <t>US698299AW45-02-17-2010</t>
  </si>
  <si>
    <t>US698299AW45-08-15-2009</t>
  </si>
  <si>
    <t>US698299AW45-02-18-2010</t>
  </si>
  <si>
    <t>US698299AW45-02-19-2010</t>
  </si>
  <si>
    <t>US698299AW45-02-20-2010</t>
  </si>
  <si>
    <t>US698299AW45-03-21-2010</t>
  </si>
  <si>
    <t>US698299AW45-07-01-2013</t>
  </si>
  <si>
    <t>BONOS GLOBALES 2038</t>
  </si>
  <si>
    <t>US698299BY91-01-04-2024</t>
  </si>
  <si>
    <t>US698299BY91-02-04-2024</t>
  </si>
  <si>
    <t>US698299BY91-03-04-2024</t>
  </si>
  <si>
    <t>US698299BY91-04-04-2024</t>
  </si>
  <si>
    <t>US698299BY91-05-04-2024</t>
  </si>
  <si>
    <t>BONOS GLOBALES 2047</t>
  </si>
  <si>
    <t>US698299BG85-05-01-2017</t>
  </si>
  <si>
    <t>US698299BG85-09-01-2018</t>
  </si>
  <si>
    <t>US698299BG85-09-02-2018</t>
  </si>
  <si>
    <t>US698299BG85-09-03-2018</t>
  </si>
  <si>
    <t>US698299BG85-09-04-2018</t>
  </si>
  <si>
    <t>US698299BH68-04-01-2018</t>
  </si>
  <si>
    <t>US698299BH68-10-02-2018</t>
  </si>
  <si>
    <t>US698299BH68-01-11-2023</t>
  </si>
  <si>
    <t>US698299BH68-01-12-2023</t>
  </si>
  <si>
    <t>BONOS GLOBALES 2053</t>
  </si>
  <si>
    <t>US698299BB98-07-01-2013</t>
  </si>
  <si>
    <t>US698299BB98-08-03-2013</t>
  </si>
  <si>
    <t>US698299BB98-01-11-2019</t>
  </si>
  <si>
    <t>BONOS GLOBALES 2054</t>
  </si>
  <si>
    <t>US698299BV52-03-01-2023</t>
  </si>
  <si>
    <t>US698299BV52-01-04-2023</t>
  </si>
  <si>
    <t>US698299BV52-02-04-2023</t>
  </si>
  <si>
    <t>US698299BV52-03-04-2023</t>
  </si>
  <si>
    <t>US698299BV52-04-04-2023</t>
  </si>
  <si>
    <t>US698299BV52-05-04-2023</t>
  </si>
  <si>
    <t>US698299BV52-06-04-2023</t>
  </si>
  <si>
    <t>US698299BV52-07-04-2023</t>
  </si>
  <si>
    <t>US698299BV52-08-04-2023</t>
  </si>
  <si>
    <t>US698299BV52-09-04-2023</t>
  </si>
  <si>
    <t>US698299BV52-10-05-2023</t>
  </si>
  <si>
    <t>US698299BV52-11-05-2023</t>
  </si>
  <si>
    <t>US698299BV52-12-05-2023</t>
  </si>
  <si>
    <t>US698299BV52-13-05-2023</t>
  </si>
  <si>
    <t>US698299BV52-14-05-2023</t>
  </si>
  <si>
    <t>US698299BV52-15-05-2023</t>
  </si>
  <si>
    <t>US698299BV52-16-05-2023</t>
  </si>
  <si>
    <t>US698299BV52-17-06-2023</t>
  </si>
  <si>
    <t>US698299BV52-18-06-2023</t>
  </si>
  <si>
    <t>US698299BV52-19-06-2023</t>
  </si>
  <si>
    <t>US698299BV52-20-06-2023</t>
  </si>
  <si>
    <t>US698299BV52-21-06-2023</t>
  </si>
  <si>
    <t>US698299BV52-01-11-2023</t>
  </si>
  <si>
    <t>US698299BV52-02-11-2023</t>
  </si>
  <si>
    <t>US698299BV52-03-11-2023</t>
  </si>
  <si>
    <t>US698299BV52-04-11-2023</t>
  </si>
  <si>
    <t>US698299BV52-01-07-2024</t>
  </si>
  <si>
    <t>US698299BV52-02-07-2024</t>
  </si>
  <si>
    <t>US698299BV52-03-07-2024</t>
  </si>
  <si>
    <t>US698299BV52-04-07-2024</t>
  </si>
  <si>
    <t>US698299BV52-05-07-2024</t>
  </si>
  <si>
    <t>BONOS GLOBALES 2056</t>
  </si>
  <si>
    <t>US698299BV53-04-01-2023</t>
  </si>
  <si>
    <t>US698299BV53-01-11-2023</t>
  </si>
  <si>
    <t>US698299BV53-02-11-2023</t>
  </si>
  <si>
    <t>US698299BV53-03-11-2023</t>
  </si>
  <si>
    <t>BONOS GLOBALES 2057</t>
  </si>
  <si>
    <t>US698299BZ66-01-03-2024</t>
  </si>
  <si>
    <t>US698299BZ66-01-04-2024</t>
  </si>
  <si>
    <t>US698299BZ66-02-04-2024</t>
  </si>
  <si>
    <t>US698299BZ66-03-04-2024</t>
  </si>
  <si>
    <t>US698299BZ66-04-04-2024</t>
  </si>
  <si>
    <t>US698299BZ66-05-04-2024</t>
  </si>
  <si>
    <t>US698299BZ66-06-04-2024</t>
  </si>
  <si>
    <t>US698299BZ66-07-04-2024</t>
  </si>
  <si>
    <t>US698299BZ66-08-04-2024</t>
  </si>
  <si>
    <t>US698299BZ66-09-04-2024</t>
  </si>
  <si>
    <t>US698299BZ66-10-04-2024</t>
  </si>
  <si>
    <t>US698299BZ66-11-04-2024</t>
  </si>
  <si>
    <t>US698299BZ66-13-04-2024</t>
  </si>
  <si>
    <t>US698299BZ66-14-04-2024</t>
  </si>
  <si>
    <t>US698299BZ66-15-04-2024</t>
  </si>
  <si>
    <t>US698299BZ66-16-04-2024</t>
  </si>
  <si>
    <t>US698299BZ66-17-04-2024</t>
  </si>
  <si>
    <t>US698299BZ66-01-05-2024</t>
  </si>
  <si>
    <t>US698299BZ66-02-05-2024</t>
  </si>
  <si>
    <t>US698299BZ66-03-05-2024</t>
  </si>
  <si>
    <t>US698299BZ66-04-05-2024</t>
  </si>
  <si>
    <t>US698299BZ66-05-05-2024</t>
  </si>
  <si>
    <t>US698299BZ66-06-05-2024</t>
  </si>
  <si>
    <t>US698299BZ66-07-05-2024</t>
  </si>
  <si>
    <t>US698299BZ66-08-05-2024</t>
  </si>
  <si>
    <t>US698299BZ66-01-07-2024</t>
  </si>
  <si>
    <t>BONOS GLOBALES 2060</t>
  </si>
  <si>
    <t>US698899BL70-01-01-2021</t>
  </si>
  <si>
    <t>Bonos Globales Pma. 2063</t>
  </si>
  <si>
    <t>US698299BS24-01-04-2023</t>
  </si>
  <si>
    <t>US698299BS24-02-11-2023</t>
  </si>
  <si>
    <t xml:space="preserve">BONOS DEL TESORO </t>
  </si>
  <si>
    <t>BONOS DEL TESORO Pma 2029</t>
  </si>
  <si>
    <t>COMPRA VENTA- INTRAINSTITUCIONAL  PAL634445WA5-05-03-2021</t>
  </si>
  <si>
    <t>BONOS DEL TESORO Pma 2031</t>
  </si>
  <si>
    <t>PAL634445XA3-01-06-2021</t>
  </si>
  <si>
    <t>BONOS DEL TESORO Pma 2034</t>
  </si>
  <si>
    <t>PAL63444A5A0-01-07-2022</t>
  </si>
  <si>
    <t>PAL63444A5A0-02-07-2022</t>
  </si>
  <si>
    <t xml:space="preserve">NOTAS DEL TESORO </t>
  </si>
  <si>
    <t>NOTAS DEL TESORO Pma 2026</t>
  </si>
  <si>
    <t>PAL634445TA1-01-04-2019</t>
  </si>
  <si>
    <t>LETRAS DEL TESORO</t>
  </si>
  <si>
    <t>PAL634445ZD2-01-08-2022</t>
  </si>
  <si>
    <t>BONOS ROTATIVOS</t>
  </si>
  <si>
    <t>BANCO NACIONAL DE PANAMA   PAL3000411D0-01-09-2019</t>
  </si>
  <si>
    <t>CAJA DE AHORROS           PAL3015411B7-01-12-2021</t>
  </si>
  <si>
    <t>15/12/2021</t>
  </si>
  <si>
    <t>CAJA DE AHORROS           PAL3015421A8-01-12-2021</t>
  </si>
  <si>
    <t>20/12/2021</t>
  </si>
  <si>
    <t>BONOS CORPORATIVOS</t>
  </si>
  <si>
    <t>BONOS CORP. ETESA 2026       PAL3602111A4-01-05-2019</t>
  </si>
  <si>
    <t>BONOS CORP. ETESA 2032      PAL3602111C0 01-07-2022</t>
  </si>
  <si>
    <t>BONO CORPORATIVO ROT, CREDICORP PAL3061715A6</t>
  </si>
  <si>
    <t>NOTAS CORPORATIVAS (CAF)</t>
  </si>
  <si>
    <t>NOTA TASA INCREMENTAL 2042     XS2536383545 01-09-2022</t>
  </si>
  <si>
    <t>COMPONENTE DE BENEFICIO DEFINIDO</t>
  </si>
  <si>
    <t>BONOS GLOBALES Pma 2026</t>
  </si>
  <si>
    <t>US698299AV61-10-08-2008</t>
  </si>
  <si>
    <t>US698299AV61-10-04-2008</t>
  </si>
  <si>
    <t>US698299AV61-10-05-2008</t>
  </si>
  <si>
    <t>US698299AV61-10-03-2008</t>
  </si>
  <si>
    <t>US698299AV61-10-07-2008</t>
  </si>
  <si>
    <t>US698299AV61-01-13-2009</t>
  </si>
  <si>
    <t>US698299AV61-01-14-2009</t>
  </si>
  <si>
    <t>US698299AV61-01-15-2009</t>
  </si>
  <si>
    <t>US698299AV61-02-16-2009</t>
  </si>
  <si>
    <t>US698299AV61-01-02-2009</t>
  </si>
  <si>
    <t>US698299AV61-01-03-2009</t>
  </si>
  <si>
    <t>US698299AV61-10-01-2008</t>
  </si>
  <si>
    <t>US698299AV61-01-04-2009</t>
  </si>
  <si>
    <t>US698299AV61-02-05-2009</t>
  </si>
  <si>
    <t>US698299AV61-03-06-2009</t>
  </si>
  <si>
    <t>US698299AV61-03-07-2009</t>
  </si>
  <si>
    <t>BONOS GLOBALES Pma 2032</t>
  </si>
  <si>
    <t>27/01/2021</t>
  </si>
  <si>
    <t>US698299BN37-04-05-2021</t>
  </si>
  <si>
    <t>BONOS GLOBALES Pma 2036</t>
  </si>
  <si>
    <t>US698299AW45-07-03-2009</t>
  </si>
  <si>
    <t>US698299AW45-07-04-2009</t>
  </si>
  <si>
    <t>US698299AW45-02-22-2010</t>
  </si>
  <si>
    <t>US698299AW45-07-06-2009</t>
  </si>
  <si>
    <t>US698299AW45-02-23-2010</t>
  </si>
  <si>
    <t>US698299AW45-01-08-2009</t>
  </si>
  <si>
    <t>US698299AW45-04-10-2009</t>
  </si>
  <si>
    <t>US698299AW45-06-12-2009</t>
  </si>
  <si>
    <t>US698299AW45-06-13-2009</t>
  </si>
  <si>
    <t>US698299AW45-06-14-2009</t>
  </si>
  <si>
    <t>US698299AW45-02-24-2010</t>
  </si>
  <si>
    <t>US698299AW45-02-25-2010</t>
  </si>
  <si>
    <t>US698299AW45-03-26-2010</t>
  </si>
  <si>
    <t>US698299AW45-03-27-2010</t>
  </si>
  <si>
    <t>US698299AW45-03-28-2010</t>
  </si>
  <si>
    <t>US698299AW45-07-02-2013</t>
  </si>
  <si>
    <t>US698299AW45-07-01-2008</t>
  </si>
  <si>
    <t>US698299AW45-01-02-2009</t>
  </si>
  <si>
    <t>US698299AW45-01-03-2009</t>
  </si>
  <si>
    <t>US698299AW45-03-04-2009</t>
  </si>
  <si>
    <t>US698299AW45-04-05-2009</t>
  </si>
  <si>
    <t>US698299AW45-04-06-2009</t>
  </si>
  <si>
    <t>US698299AW45-04-07-2009</t>
  </si>
  <si>
    <t>US698299AW45-04-08-2009</t>
  </si>
  <si>
    <t>US698299AW45-06-10-2009</t>
  </si>
  <si>
    <t>US698299AW45-08-13-2009</t>
  </si>
  <si>
    <t>US698299AW45-02-04-2010</t>
  </si>
  <si>
    <t>US698299AW45-04-05-2010</t>
  </si>
  <si>
    <t>BONOS GLOBALES Pma 2036 nvo.</t>
  </si>
  <si>
    <t>BONOS GLOBALES Pma 2038</t>
  </si>
  <si>
    <t>US698299BY91-06-04-2024</t>
  </si>
  <si>
    <t>US698299BY91-07-04-2024</t>
  </si>
  <si>
    <t>US698299BY91-08-04-2024</t>
  </si>
  <si>
    <t>BONOS GLOBALES Pma 2047</t>
  </si>
  <si>
    <t>US698299BG85-05-1-2017</t>
  </si>
  <si>
    <t>US698299BG85-05-02-2017</t>
  </si>
  <si>
    <t>US698299BG85 09-01-2022</t>
  </si>
  <si>
    <t>US698299BG85 09-02-2022</t>
  </si>
  <si>
    <t>US698299BG85 01-11-2023</t>
  </si>
  <si>
    <t>US698299BH68-04-2-2018</t>
  </si>
  <si>
    <t>US698299BH68 09-01-2022</t>
  </si>
  <si>
    <t>US698299BH68 01-11-2023</t>
  </si>
  <si>
    <t>BONOS GLOBALES Pma 2053</t>
  </si>
  <si>
    <t>US698299BB98-07-02-2013</t>
  </si>
  <si>
    <t>US698299BB98-08-04-2013</t>
  </si>
  <si>
    <t>US698299BV52-05-11-2023</t>
  </si>
  <si>
    <t>US698299BV52-06-11-2023</t>
  </si>
  <si>
    <t>US698299BV52-07-11-2023</t>
  </si>
  <si>
    <t>US698299BV52-01-12-2023</t>
  </si>
  <si>
    <t>US698299BV52-02-12-2023</t>
  </si>
  <si>
    <t>US698299BV52-01-06-2024</t>
  </si>
  <si>
    <t>US698299BZ66-18-04-2024</t>
  </si>
  <si>
    <t>US698299BZ66-19-04-2024</t>
  </si>
  <si>
    <t>US698299BZ66-20-04-2024</t>
  </si>
  <si>
    <t>US698299BZ66-21-04-2024</t>
  </si>
  <si>
    <t>US698299BZ66-22-04-2024</t>
  </si>
  <si>
    <t>US698299BZ66-23-04-2024</t>
  </si>
  <si>
    <t>US698299BZ66-24-04-2024</t>
  </si>
  <si>
    <t>US698299BZ66-25-04-2024</t>
  </si>
  <si>
    <t>US698299BZ66-26-04-2024</t>
  </si>
  <si>
    <t>US698299BZ66-27-04-2024</t>
  </si>
  <si>
    <t>US698299BZ66-28-04-2024</t>
  </si>
  <si>
    <t>US698299BZ66-29-04-2024</t>
  </si>
  <si>
    <t>US698299BZ66-30-04-2024</t>
  </si>
  <si>
    <t>US698299BZ66-31-04-2024</t>
  </si>
  <si>
    <t>US698299BZ66-32-04-2024</t>
  </si>
  <si>
    <t>US698299BZ66-33-04-2024</t>
  </si>
  <si>
    <t>US698299BZ66-34-04-2024</t>
  </si>
  <si>
    <t>US698299BZ66-35-04-2024</t>
  </si>
  <si>
    <t>US698899BL70-02-05-2021</t>
  </si>
  <si>
    <t>US698899BL70-03-05-2021</t>
  </si>
  <si>
    <t>US698899BL70-04-05-2021</t>
  </si>
  <si>
    <t>PAL634445WA5-01-12-2019</t>
  </si>
  <si>
    <t>COMPRA VENTA INTRAINSTITUCIONAL PAL634445WA5-05-03-2021</t>
  </si>
  <si>
    <t>PAL634445XA3-01-6-2021</t>
  </si>
  <si>
    <t>PAL634445XA3-02-10-2021</t>
  </si>
  <si>
    <t>BONOS DEL TESORO Pma 2033</t>
  </si>
  <si>
    <t>PAL63444B5A9-01-04-2024</t>
  </si>
  <si>
    <t>PAL63444B5A9-02-04-2024</t>
  </si>
  <si>
    <t>PAL63444B5A9-03-04-2024</t>
  </si>
  <si>
    <t>PAL63444B5A9-04-04-2024</t>
  </si>
  <si>
    <t>PAL63444B5A9-05-04-2024</t>
  </si>
  <si>
    <t>PAL63444B5A9-01-06-2024</t>
  </si>
  <si>
    <t>PAL63444B5A9-02-06-2024</t>
  </si>
  <si>
    <t>PAL63444B5A9-01-07-2024</t>
  </si>
  <si>
    <t xml:space="preserve">LETRAS DEL TESORO </t>
  </si>
  <si>
    <t>LETRAS DEL TESORO Pma 2025</t>
  </si>
  <si>
    <t>PAL634445ZS0-01-05-2024</t>
  </si>
  <si>
    <t>BONO CORPORATIVO ROT, BLADEX S.A. PAL3061715A6</t>
  </si>
  <si>
    <t xml:space="preserve"> BONOS NEGOCIABLES Y NOTAS DEL TESORO,           </t>
  </si>
  <si>
    <t>SEGURO COLECTIVO RENTA VITALICIA</t>
  </si>
  <si>
    <t>BONOS GLOBALES</t>
  </si>
  <si>
    <t>US698299AV61-01-05-2009</t>
  </si>
  <si>
    <t>US698299AV61-01-06-2009</t>
  </si>
  <si>
    <t>US698299AW45-02-02-2010</t>
  </si>
  <si>
    <t>US698299AW45-04-04-2009</t>
  </si>
  <si>
    <t>US698299AW45-06-05-2009</t>
  </si>
  <si>
    <t>US698299AW45-08-06-2009</t>
  </si>
  <si>
    <t>US698299AW45-02-07-2010</t>
  </si>
  <si>
    <t>BONOS DEL TESORO</t>
  </si>
  <si>
    <t>BONOS DEL TESORO 2031</t>
  </si>
  <si>
    <t>PAL634445XA3-04-11-2021</t>
  </si>
  <si>
    <t>NOTAS DEL TESORO</t>
  </si>
  <si>
    <t>NOTAS DEL TESORO PMA 2026</t>
  </si>
  <si>
    <t>NOTAS DEL TESORO PMA 2027</t>
  </si>
  <si>
    <t>PAL634445VA7-01-05-2021</t>
  </si>
  <si>
    <t>BANCO NACIONAL DE PANAMA  PAL3000411D0-01-09-2019</t>
  </si>
  <si>
    <t>SEGURO COLECTIVO DE INVALIDEZ</t>
  </si>
  <si>
    <t>BONOS GLOBLAES</t>
  </si>
  <si>
    <t>BONOS GLOBALES PMA 2026</t>
  </si>
  <si>
    <t>US698299AV61-08-07-2008</t>
  </si>
  <si>
    <t>US698299AV61-01-10-2009</t>
  </si>
  <si>
    <t>BONOS GLOBALES PMA 2036</t>
  </si>
  <si>
    <t>US698299AW45-09-09-2008</t>
  </si>
  <si>
    <t>US698299AW45-01-10-2009</t>
  </si>
  <si>
    <t>US698299AW45-04-11-2009</t>
  </si>
  <si>
    <t>US698299AW45-02-14-2010</t>
  </si>
  <si>
    <t>US698299AW45-02-15-2010</t>
  </si>
  <si>
    <t>BONOS DEL TESORO  2031</t>
  </si>
  <si>
    <t xml:space="preserve">BONOS NEGOCIABLES  DE LOS RIESGOS PROFESIONALES </t>
  </si>
  <si>
    <t>US698299AW45-04-26-2010</t>
  </si>
  <si>
    <t>COMPOSICIÓN  DE BONOS CORPORATIVOS ROTATIVOS BLADEX  Y BICSA</t>
  </si>
  <si>
    <t>EMISION</t>
  </si>
  <si>
    <t>DIAS</t>
  </si>
  <si>
    <t>VALOR NOMINAL</t>
  </si>
  <si>
    <t>BONO CORP. ROT. BLADEX PAL 3016811A9</t>
  </si>
  <si>
    <t>BONO CORP. BANCO DE COSTA RICA (BICSA) PAL 3520618LA</t>
  </si>
  <si>
    <t>BONO CORP. ROT. BLADEX PAL 3016811U7</t>
  </si>
  <si>
    <t>RIESGO DE ENFERMEDAD Y MATERNIDAD</t>
  </si>
  <si>
    <t>SUBSISTEMA MIXTO / COMPONENTE DE BENEFICIO DEFINIDO</t>
  </si>
  <si>
    <t>CUPÓN              (%)</t>
  </si>
  <si>
    <t>FECHA DE COMPRA</t>
  </si>
  <si>
    <t>FECHA DE VENCIMIENTO</t>
  </si>
  <si>
    <t>PLAZO                                  (en años)</t>
  </si>
  <si>
    <t>BONOS NEGOCIABLES Y NOTAS DEL TESORO, DEL RIESGO DE INVALIDEZ, VEJEZ  Y MUERTE - SUBSISTEMA EXCLUSIVAMENTE                                                DE BENEFICIO DEFINIDO</t>
  </si>
  <si>
    <t>CUPÓN                  (%)</t>
  </si>
  <si>
    <t xml:space="preserve">BONOS NEGOCIABLES Y NOTAS DEL TESORO, DEL RIESGO DE INVALIDEZ, VEJEZ  Y MUERTE POR COMPONENTE DEL                                                 SUBSISTEMA MIXTO                                                   </t>
  </si>
  <si>
    <t>US698299AW36-01-11-2023</t>
  </si>
  <si>
    <t>BONOS ETESA</t>
  </si>
  <si>
    <t>BONOS CREDICORP</t>
  </si>
  <si>
    <t>BONOS ROTATIVOS CAJA DE AHORROS</t>
  </si>
  <si>
    <t>BONOS ROTATIVOS BNP</t>
  </si>
  <si>
    <t>BONO ROTATIVO BNP</t>
  </si>
  <si>
    <t>BONO ROTATIVO CAJA DE AHORROS</t>
  </si>
  <si>
    <t>BONOS BLADEX</t>
  </si>
  <si>
    <t>CUPÓN             (%)</t>
  </si>
  <si>
    <t>SEGUROS COLECTIVOS DEL SUBSISTEMA MIXTO DE PENSIONES</t>
  </si>
  <si>
    <t>US698299AW36 01-11-2023</t>
  </si>
  <si>
    <t>CUPÓN               (%)</t>
  </si>
  <si>
    <t>CUPÓN        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</si>
</sst>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"/>
    <numFmt numFmtId="165" formatCode="dd\-mm\-yyyy"/>
    <numFmt numFmtId="166" formatCode="0.000000"/>
    <numFmt numFmtId="167" formatCode="0.000%"/>
    <numFmt numFmtId="168" formatCode="0.00000"/>
    <numFmt numFmtId="169" formatCode="0.0000"/>
    <numFmt numFmtId="170" formatCode="dd/mm/yyyy;"/>
    <numFmt numFmtId="171" formatCode="0.000000000"/>
    <numFmt numFmtId="172" formatCode="0.0000000000000%"/>
  </numFmts>
  <fonts count="29" x14ac:knownFonts="1">
    <font>
      <sz val="10"/>
      <name val="Arial"/>
    </font>
    <font>
      <b/>
      <sz val="12"/>
      <name val="Century Gothic"/>
      <family val="2"/>
    </font>
    <font>
      <sz val="10"/>
      <name val="Times New Roman"/>
      <family val="1"/>
    </font>
    <font>
      <sz val="10"/>
      <name val="Courier"/>
      <family val="3"/>
    </font>
    <font>
      <b/>
      <sz val="12"/>
      <name val="Arial"/>
      <family val="2"/>
    </font>
    <font>
      <b/>
      <u val="double"/>
      <sz val="12"/>
      <name val="Arial"/>
      <family val="2"/>
    </font>
    <font>
      <b/>
      <u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u/>
      <sz val="12"/>
      <color theme="1"/>
      <name val="Arial"/>
      <family val="2"/>
    </font>
    <font>
      <sz val="12"/>
      <name val="Times New Roman"/>
      <family val="1"/>
    </font>
    <font>
      <b/>
      <sz val="13"/>
      <color rgb="FF0000FF"/>
      <name val="Arial"/>
      <family val="2"/>
    </font>
    <font>
      <sz val="10"/>
      <name val="Arial"/>
      <family val="2"/>
    </font>
    <font>
      <sz val="12"/>
      <name val="Century Gothic"/>
      <family val="2"/>
    </font>
    <font>
      <b/>
      <sz val="14"/>
      <name val="Arial"/>
      <family val="2"/>
    </font>
    <font>
      <b/>
      <sz val="14"/>
      <name val="Century Gothic"/>
      <family val="2"/>
    </font>
    <font>
      <b/>
      <sz val="12"/>
      <name val="Times New Roman"/>
      <family val="1"/>
    </font>
    <font>
      <sz val="15"/>
      <name val="Arial"/>
      <family val="2"/>
    </font>
    <font>
      <b/>
      <sz val="12"/>
      <color theme="1"/>
      <name val="Arial"/>
      <family val="2"/>
    </font>
    <font>
      <b/>
      <sz val="12"/>
      <color rgb="FF0000FF"/>
      <name val="Times New Roman"/>
      <family val="1"/>
    </font>
    <font>
      <sz val="10"/>
      <color rgb="FF0000FF"/>
      <name val="Times New Roman"/>
      <family val="1"/>
    </font>
    <font>
      <b/>
      <sz val="12"/>
      <color rgb="FF0000FF"/>
      <name val="Century Gothic"/>
      <family val="2"/>
    </font>
    <font>
      <b/>
      <sz val="10"/>
      <name val="Times New Roman"/>
      <family val="1"/>
    </font>
    <font>
      <b/>
      <sz val="10"/>
      <name val="Century Gothic"/>
      <family val="2"/>
    </font>
    <font>
      <b/>
      <sz val="12"/>
      <color rgb="FFFF0000"/>
      <name val="Arial"/>
      <family val="2"/>
    </font>
    <font>
      <sz val="10"/>
      <name val="Century Gothic"/>
      <family val="2"/>
    </font>
    <font>
      <b/>
      <u/>
      <sz val="10"/>
      <name val="Times New Roman"/>
      <family val="1"/>
    </font>
    <font>
      <b/>
      <u/>
      <sz val="14"/>
      <name val="Arial"/>
      <family val="2"/>
    </font>
    <font>
      <b/>
      <u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37" fontId="3" fillId="0" borderId="0"/>
    <xf numFmtId="9" fontId="12" fillId="0" borderId="0" applyFont="0" applyFill="0" applyBorder="0" applyAlignment="0" applyProtection="0"/>
    <xf numFmtId="0" fontId="12" fillId="0" borderId="0"/>
  </cellStyleXfs>
  <cellXfs count="3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/>
    <xf numFmtId="0" fontId="2" fillId="2" borderId="0" xfId="0" applyFont="1" applyFill="1"/>
    <xf numFmtId="0" fontId="7" fillId="0" borderId="0" xfId="0" applyFont="1"/>
    <xf numFmtId="0" fontId="10" fillId="0" borderId="0" xfId="0" applyFont="1"/>
    <xf numFmtId="49" fontId="10" fillId="0" borderId="0" xfId="0" applyNumberFormat="1" applyFont="1"/>
    <xf numFmtId="0" fontId="8" fillId="0" borderId="0" xfId="0" applyFont="1" applyAlignment="1">
      <alignment horizontal="center" vertical="top"/>
    </xf>
    <xf numFmtId="0" fontId="8" fillId="0" borderId="0" xfId="0" applyFont="1"/>
    <xf numFmtId="14" fontId="11" fillId="0" borderId="0" xfId="0" quotePrefix="1" applyNumberFormat="1" applyFont="1" applyAlignment="1">
      <alignment horizontal="left"/>
    </xf>
    <xf numFmtId="49" fontId="8" fillId="0" borderId="0" xfId="0" applyNumberFormat="1" applyFont="1"/>
    <xf numFmtId="0" fontId="8" fillId="0" borderId="0" xfId="0" applyFont="1" applyAlignment="1">
      <alignment horizontal="right"/>
    </xf>
    <xf numFmtId="10" fontId="13" fillId="0" borderId="0" xfId="2" applyNumberFormat="1" applyFont="1" applyAlignment="1">
      <alignment vertical="center"/>
    </xf>
    <xf numFmtId="10" fontId="1" fillId="0" borderId="0" xfId="2" applyNumberFormat="1" applyFont="1" applyAlignment="1">
      <alignment vertical="center"/>
    </xf>
    <xf numFmtId="10" fontId="15" fillId="4" borderId="0" xfId="2" applyNumberFormat="1" applyFont="1" applyFill="1" applyAlignment="1">
      <alignment vertical="center"/>
    </xf>
    <xf numFmtId="0" fontId="8" fillId="0" borderId="4" xfId="3" applyFont="1" applyBorder="1"/>
    <xf numFmtId="0" fontId="8" fillId="0" borderId="5" xfId="3" applyFont="1" applyBorder="1"/>
    <xf numFmtId="0" fontId="1" fillId="0" borderId="0" xfId="3" applyFont="1"/>
    <xf numFmtId="0" fontId="16" fillId="0" borderId="0" xfId="3" applyFont="1"/>
    <xf numFmtId="0" fontId="16" fillId="0" borderId="0" xfId="3" applyFont="1" applyAlignment="1">
      <alignment vertical="center"/>
    </xf>
    <xf numFmtId="0" fontId="1" fillId="0" borderId="0" xfId="3" applyFont="1" applyAlignment="1">
      <alignment vertical="center"/>
    </xf>
    <xf numFmtId="4" fontId="16" fillId="0" borderId="0" xfId="3" applyNumberFormat="1" applyFont="1" applyAlignment="1">
      <alignment vertical="center"/>
    </xf>
    <xf numFmtId="4" fontId="4" fillId="3" borderId="0" xfId="3" applyNumberFormat="1" applyFont="1" applyFill="1" applyAlignment="1">
      <alignment horizontal="right" vertical="center"/>
    </xf>
    <xf numFmtId="10" fontId="4" fillId="3" borderId="0" xfId="2" applyNumberFormat="1" applyFont="1" applyFill="1" applyBorder="1" applyAlignment="1">
      <alignment vertical="center"/>
    </xf>
    <xf numFmtId="0" fontId="16" fillId="3" borderId="0" xfId="3" applyFont="1" applyFill="1" applyAlignment="1">
      <alignment vertical="center"/>
    </xf>
    <xf numFmtId="4" fontId="6" fillId="0" borderId="0" xfId="3" applyNumberFormat="1" applyFont="1" applyAlignment="1">
      <alignment horizontal="right" vertical="center"/>
    </xf>
    <xf numFmtId="166" fontId="16" fillId="0" borderId="0" xfId="3" applyNumberFormat="1" applyFont="1" applyAlignment="1">
      <alignment vertical="center"/>
    </xf>
    <xf numFmtId="167" fontId="16" fillId="0" borderId="0" xfId="2" applyNumberFormat="1" applyFont="1" applyFill="1" applyBorder="1" applyAlignment="1">
      <alignment vertical="center"/>
    </xf>
    <xf numFmtId="4" fontId="8" fillId="0" borderId="1" xfId="3" applyNumberFormat="1" applyFont="1" applyBorder="1" applyAlignment="1">
      <alignment horizontal="right" vertical="center"/>
    </xf>
    <xf numFmtId="168" fontId="16" fillId="0" borderId="0" xfId="3" applyNumberFormat="1" applyFont="1" applyAlignment="1">
      <alignment vertical="center"/>
    </xf>
    <xf numFmtId="4" fontId="8" fillId="0" borderId="0" xfId="3" applyNumberFormat="1" applyFont="1" applyAlignment="1">
      <alignment vertical="center"/>
    </xf>
    <xf numFmtId="10" fontId="8" fillId="0" borderId="0" xfId="2" applyNumberFormat="1" applyFont="1" applyFill="1" applyBorder="1" applyAlignment="1">
      <alignment vertical="center"/>
    </xf>
    <xf numFmtId="169" fontId="16" fillId="0" borderId="0" xfId="3" applyNumberFormat="1" applyFont="1" applyAlignment="1">
      <alignment vertical="center"/>
    </xf>
    <xf numFmtId="4" fontId="6" fillId="0" borderId="1" xfId="3" applyNumberFormat="1" applyFont="1" applyBorder="1" applyAlignment="1">
      <alignment vertical="center"/>
    </xf>
    <xf numFmtId="4" fontId="6" fillId="0" borderId="0" xfId="3" applyNumberFormat="1" applyFont="1" applyAlignment="1">
      <alignment vertical="center"/>
    </xf>
    <xf numFmtId="4" fontId="17" fillId="0" borderId="9" xfId="3" applyNumberFormat="1" applyFont="1" applyBorder="1" applyAlignment="1">
      <alignment horizontal="right" vertical="center"/>
    </xf>
    <xf numFmtId="4" fontId="17" fillId="0" borderId="0" xfId="3" applyNumberFormat="1" applyFont="1" applyAlignment="1">
      <alignment horizontal="right" vertical="center"/>
    </xf>
    <xf numFmtId="171" fontId="16" fillId="0" borderId="0" xfId="3" applyNumberFormat="1" applyFont="1" applyAlignment="1">
      <alignment vertical="center"/>
    </xf>
    <xf numFmtId="168" fontId="16" fillId="3" borderId="0" xfId="3" applyNumberFormat="1" applyFont="1" applyFill="1" applyAlignment="1">
      <alignment vertical="center"/>
    </xf>
    <xf numFmtId="4" fontId="4" fillId="3" borderId="0" xfId="3" applyNumberFormat="1" applyFont="1" applyFill="1" applyAlignment="1">
      <alignment vertical="center"/>
    </xf>
    <xf numFmtId="4" fontId="8" fillId="3" borderId="0" xfId="3" applyNumberFormat="1" applyFont="1" applyFill="1" applyAlignment="1">
      <alignment vertical="center"/>
    </xf>
    <xf numFmtId="10" fontId="8" fillId="3" borderId="0" xfId="2" applyNumberFormat="1" applyFont="1" applyFill="1" applyBorder="1" applyAlignment="1">
      <alignment vertical="center"/>
    </xf>
    <xf numFmtId="0" fontId="1" fillId="3" borderId="0" xfId="3" applyFont="1" applyFill="1" applyAlignment="1">
      <alignment vertical="center"/>
    </xf>
    <xf numFmtId="4" fontId="6" fillId="3" borderId="1" xfId="3" applyNumberFormat="1" applyFont="1" applyFill="1" applyBorder="1" applyAlignment="1">
      <alignment horizontal="right" vertical="center"/>
    </xf>
    <xf numFmtId="4" fontId="6" fillId="3" borderId="9" xfId="3" applyNumberFormat="1" applyFont="1" applyFill="1" applyBorder="1" applyAlignment="1">
      <alignment horizontal="right" vertical="center"/>
    </xf>
    <xf numFmtId="4" fontId="6" fillId="3" borderId="0" xfId="3" applyNumberFormat="1" applyFont="1" applyFill="1" applyAlignment="1">
      <alignment horizontal="right" vertical="center"/>
    </xf>
    <xf numFmtId="166" fontId="16" fillId="3" borderId="0" xfId="3" applyNumberFormat="1" applyFont="1" applyFill="1" applyAlignment="1">
      <alignment vertical="center"/>
    </xf>
    <xf numFmtId="4" fontId="5" fillId="3" borderId="0" xfId="3" applyNumberFormat="1" applyFont="1" applyFill="1" applyAlignment="1">
      <alignment horizontal="right" vertical="center"/>
    </xf>
    <xf numFmtId="10" fontId="4" fillId="3" borderId="0" xfId="2" applyNumberFormat="1" applyFont="1" applyFill="1" applyBorder="1" applyAlignment="1" applyProtection="1">
      <alignment vertical="center"/>
      <protection locked="0"/>
    </xf>
    <xf numFmtId="172" fontId="1" fillId="0" borderId="0" xfId="3" applyNumberFormat="1" applyFont="1" applyAlignment="1">
      <alignment vertical="center"/>
    </xf>
    <xf numFmtId="4" fontId="6" fillId="0" borderId="9" xfId="3" applyNumberFormat="1" applyFont="1" applyBorder="1" applyAlignment="1">
      <alignment horizontal="right" vertical="center"/>
    </xf>
    <xf numFmtId="4" fontId="4" fillId="0" borderId="0" xfId="3" applyNumberFormat="1" applyFont="1" applyAlignment="1">
      <alignment vertical="center"/>
    </xf>
    <xf numFmtId="10" fontId="4" fillId="0" borderId="0" xfId="2" applyNumberFormat="1" applyFont="1" applyFill="1" applyBorder="1" applyAlignment="1">
      <alignment vertical="center"/>
    </xf>
    <xf numFmtId="4" fontId="17" fillId="0" borderId="0" xfId="3" applyNumberFormat="1" applyFont="1" applyAlignment="1">
      <alignment vertical="center"/>
    </xf>
    <xf numFmtId="4" fontId="4" fillId="0" borderId="0" xfId="3" applyNumberFormat="1" applyFont="1" applyAlignment="1">
      <alignment horizontal="right" vertical="center"/>
    </xf>
    <xf numFmtId="4" fontId="6" fillId="0" borderId="9" xfId="3" applyNumberFormat="1" applyFont="1" applyBorder="1" applyAlignment="1">
      <alignment vertical="center"/>
    </xf>
    <xf numFmtId="10" fontId="4" fillId="5" borderId="0" xfId="2" applyNumberFormat="1" applyFont="1" applyFill="1" applyBorder="1" applyAlignment="1">
      <alignment vertical="center"/>
    </xf>
    <xf numFmtId="4" fontId="6" fillId="0" borderId="9" xfId="3" applyNumberFormat="1" applyFont="1" applyBorder="1" applyAlignment="1">
      <alignment horizontal="right" vertical="center" wrapText="1"/>
    </xf>
    <xf numFmtId="4" fontId="6" fillId="0" borderId="0" xfId="3" applyNumberFormat="1" applyFont="1" applyAlignment="1">
      <alignment horizontal="right" vertical="center" wrapText="1"/>
    </xf>
    <xf numFmtId="4" fontId="6" fillId="5" borderId="1" xfId="3" applyNumberFormat="1" applyFont="1" applyFill="1" applyBorder="1" applyAlignment="1">
      <alignment horizontal="right" vertical="center" wrapText="1"/>
    </xf>
    <xf numFmtId="0" fontId="8" fillId="0" borderId="7" xfId="3" quotePrefix="1" applyFont="1" applyBorder="1" applyAlignment="1">
      <alignment horizontal="left" vertical="center" wrapText="1"/>
    </xf>
    <xf numFmtId="2" fontId="8" fillId="0" borderId="0" xfId="3" quotePrefix="1" applyNumberFormat="1" applyFont="1" applyAlignment="1">
      <alignment horizontal="center" vertical="center"/>
    </xf>
    <xf numFmtId="165" fontId="8" fillId="0" borderId="0" xfId="3" applyNumberFormat="1" applyFont="1" applyAlignment="1">
      <alignment horizontal="center" vertical="center"/>
    </xf>
    <xf numFmtId="0" fontId="10" fillId="0" borderId="0" xfId="3" applyFont="1"/>
    <xf numFmtId="0" fontId="2" fillId="0" borderId="0" xfId="3" applyFont="1"/>
    <xf numFmtId="0" fontId="2" fillId="3" borderId="0" xfId="3" applyFont="1" applyFill="1"/>
    <xf numFmtId="4" fontId="19" fillId="0" borderId="0" xfId="3" applyNumberFormat="1" applyFont="1" applyAlignment="1">
      <alignment vertical="center"/>
    </xf>
    <xf numFmtId="165" fontId="8" fillId="3" borderId="0" xfId="3" applyNumberFormat="1" applyFont="1" applyFill="1" applyAlignment="1">
      <alignment horizontal="center" vertical="center"/>
    </xf>
    <xf numFmtId="10" fontId="14" fillId="4" borderId="2" xfId="2" applyNumberFormat="1" applyFont="1" applyFill="1" applyBorder="1" applyAlignment="1">
      <alignment horizontal="right" vertical="center"/>
    </xf>
    <xf numFmtId="4" fontId="4" fillId="3" borderId="9" xfId="3" applyNumberFormat="1" applyFont="1" applyFill="1" applyBorder="1" applyAlignment="1">
      <alignment horizontal="right" vertical="center"/>
    </xf>
    <xf numFmtId="10" fontId="8" fillId="3" borderId="2" xfId="2" applyNumberFormat="1" applyFont="1" applyFill="1" applyBorder="1" applyAlignment="1">
      <alignment horizontal="right" vertical="center"/>
    </xf>
    <xf numFmtId="4" fontId="8" fillId="3" borderId="0" xfId="3" applyNumberFormat="1" applyFont="1" applyFill="1" applyAlignment="1">
      <alignment horizontal="right" vertical="center"/>
    </xf>
    <xf numFmtId="10" fontId="8" fillId="3" borderId="0" xfId="2" applyNumberFormat="1" applyFont="1" applyFill="1" applyBorder="1" applyAlignment="1">
      <alignment horizontal="right" vertical="center"/>
    </xf>
    <xf numFmtId="10" fontId="4" fillId="4" borderId="2" xfId="2" applyNumberFormat="1" applyFont="1" applyFill="1" applyBorder="1" applyAlignment="1">
      <alignment horizontal="right" vertical="center"/>
    </xf>
    <xf numFmtId="10" fontId="14" fillId="4" borderId="11" xfId="2" applyNumberFormat="1" applyFont="1" applyFill="1" applyBorder="1" applyAlignment="1">
      <alignment horizontal="right" vertical="center"/>
    </xf>
    <xf numFmtId="0" fontId="20" fillId="0" borderId="0" xfId="3" applyFont="1"/>
    <xf numFmtId="0" fontId="21" fillId="0" borderId="0" xfId="3" applyFont="1" applyAlignment="1">
      <alignment vertical="center"/>
    </xf>
    <xf numFmtId="0" fontId="1" fillId="3" borderId="0" xfId="3" applyFont="1" applyFill="1"/>
    <xf numFmtId="10" fontId="4" fillId="4" borderId="11" xfId="2" applyNumberFormat="1" applyFont="1" applyFill="1" applyBorder="1" applyAlignment="1">
      <alignment horizontal="right" vertical="center"/>
    </xf>
    <xf numFmtId="0" fontId="4" fillId="3" borderId="0" xfId="3" applyFont="1" applyFill="1"/>
    <xf numFmtId="0" fontId="22" fillId="0" borderId="0" xfId="3" applyFont="1"/>
    <xf numFmtId="0" fontId="4" fillId="0" borderId="0" xfId="3" applyFont="1"/>
    <xf numFmtId="0" fontId="8" fillId="0" borderId="0" xfId="3" applyFont="1" applyAlignment="1">
      <alignment horizontal="right"/>
    </xf>
    <xf numFmtId="0" fontId="23" fillId="0" borderId="0" xfId="3" applyFont="1"/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10" fontId="8" fillId="3" borderId="3" xfId="2" applyNumberFormat="1" applyFont="1" applyFill="1" applyBorder="1" applyAlignment="1">
      <alignment horizontal="right" vertical="center"/>
    </xf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 vertical="top"/>
    </xf>
    <xf numFmtId="0" fontId="8" fillId="0" borderId="0" xfId="3" applyFont="1"/>
    <xf numFmtId="0" fontId="18" fillId="0" borderId="0" xfId="3" applyFont="1" applyAlignment="1">
      <alignment horizontal="left"/>
    </xf>
    <xf numFmtId="0" fontId="25" fillId="0" borderId="0" xfId="3" applyFont="1"/>
    <xf numFmtId="0" fontId="4" fillId="0" borderId="0" xfId="3" applyFont="1" applyAlignment="1">
      <alignment horizontal="right" vertical="top"/>
    </xf>
    <xf numFmtId="4" fontId="26" fillId="0" borderId="0" xfId="3" applyNumberFormat="1" applyFont="1" applyAlignment="1">
      <alignment horizontal="right" vertical="center" wrapText="1"/>
    </xf>
    <xf numFmtId="0" fontId="8" fillId="3" borderId="0" xfId="3" applyFont="1" applyFill="1" applyAlignment="1">
      <alignment horizontal="left" vertical="center" wrapText="1"/>
    </xf>
    <xf numFmtId="2" fontId="8" fillId="3" borderId="0" xfId="3" quotePrefix="1" applyNumberFormat="1" applyFont="1" applyFill="1" applyAlignment="1">
      <alignment horizontal="center" vertical="center" wrapText="1"/>
    </xf>
    <xf numFmtId="4" fontId="8" fillId="3" borderId="0" xfId="3" applyNumberFormat="1" applyFont="1" applyFill="1" applyAlignment="1">
      <alignment horizontal="right" vertical="center" wrapText="1"/>
    </xf>
    <xf numFmtId="4" fontId="14" fillId="4" borderId="13" xfId="0" applyNumberFormat="1" applyFont="1" applyFill="1" applyBorder="1" applyAlignment="1">
      <alignment horizontal="right" vertical="center"/>
    </xf>
    <xf numFmtId="4" fontId="4" fillId="3" borderId="13" xfId="0" applyNumberFormat="1" applyFont="1" applyFill="1" applyBorder="1" applyAlignment="1">
      <alignment horizontal="right" vertical="center"/>
    </xf>
    <xf numFmtId="4" fontId="8" fillId="3" borderId="13" xfId="0" applyNumberFormat="1" applyFont="1" applyFill="1" applyBorder="1" applyAlignment="1">
      <alignment vertical="center"/>
    </xf>
    <xf numFmtId="0" fontId="6" fillId="3" borderId="18" xfId="0" applyFont="1" applyFill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164" fontId="8" fillId="0" borderId="19" xfId="0" applyNumberFormat="1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2" fontId="4" fillId="3" borderId="15" xfId="0" quotePrefix="1" applyNumberFormat="1" applyFont="1" applyFill="1" applyBorder="1" applyAlignment="1">
      <alignment horizontal="center" vertical="center"/>
    </xf>
    <xf numFmtId="2" fontId="8" fillId="3" borderId="15" xfId="0" quotePrefix="1" applyNumberFormat="1" applyFont="1" applyFill="1" applyBorder="1" applyAlignment="1">
      <alignment horizontal="center" vertical="center"/>
    </xf>
    <xf numFmtId="2" fontId="9" fillId="3" borderId="15" xfId="0" applyNumberFormat="1" applyFont="1" applyFill="1" applyBorder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49" fontId="5" fillId="3" borderId="16" xfId="0" applyNumberFormat="1" applyFont="1" applyFill="1" applyBorder="1" applyAlignment="1">
      <alignment horizontal="center" vertical="center"/>
    </xf>
    <xf numFmtId="165" fontId="4" fillId="3" borderId="15" xfId="0" applyNumberFormat="1" applyFont="1" applyFill="1" applyBorder="1" applyAlignment="1">
      <alignment horizontal="center" vertical="center"/>
    </xf>
    <xf numFmtId="165" fontId="8" fillId="3" borderId="15" xfId="0" applyNumberFormat="1" applyFont="1" applyFill="1" applyBorder="1" applyAlignment="1">
      <alignment horizontal="center" vertical="center"/>
    </xf>
    <xf numFmtId="49" fontId="9" fillId="3" borderId="15" xfId="0" applyNumberFormat="1" applyFont="1" applyFill="1" applyBorder="1" applyAlignment="1">
      <alignment horizontal="center" vertical="center"/>
    </xf>
    <xf numFmtId="165" fontId="8" fillId="3" borderId="22" xfId="0" applyNumberFormat="1" applyFont="1" applyFill="1" applyBorder="1" applyAlignment="1">
      <alignment horizontal="center" vertical="center"/>
    </xf>
    <xf numFmtId="4" fontId="14" fillId="3" borderId="16" xfId="0" applyNumberFormat="1" applyFont="1" applyFill="1" applyBorder="1" applyAlignment="1">
      <alignment horizontal="right" vertical="center"/>
    </xf>
    <xf numFmtId="4" fontId="4" fillId="3" borderId="15" xfId="0" applyNumberFormat="1" applyFont="1" applyFill="1" applyBorder="1" applyAlignment="1">
      <alignment horizontal="right" vertical="center"/>
    </xf>
    <xf numFmtId="4" fontId="8" fillId="3" borderId="15" xfId="0" applyNumberFormat="1" applyFont="1" applyFill="1" applyBorder="1" applyAlignment="1">
      <alignment vertical="center"/>
    </xf>
    <xf numFmtId="4" fontId="8" fillId="3" borderId="22" xfId="0" applyNumberFormat="1" applyFont="1" applyFill="1" applyBorder="1" applyAlignment="1">
      <alignment vertical="center"/>
    </xf>
    <xf numFmtId="4" fontId="4" fillId="3" borderId="23" xfId="0" applyNumberFormat="1" applyFont="1" applyFill="1" applyBorder="1" applyAlignment="1">
      <alignment horizontal="right" vertical="center"/>
    </xf>
    <xf numFmtId="4" fontId="8" fillId="3" borderId="23" xfId="0" applyNumberFormat="1" applyFont="1" applyFill="1" applyBorder="1" applyAlignment="1">
      <alignment vertical="center"/>
    </xf>
    <xf numFmtId="4" fontId="8" fillId="3" borderId="24" xfId="0" applyNumberFormat="1" applyFont="1" applyFill="1" applyBorder="1" applyAlignment="1">
      <alignment vertical="center"/>
    </xf>
    <xf numFmtId="4" fontId="8" fillId="3" borderId="22" xfId="0" applyNumberFormat="1" applyFont="1" applyFill="1" applyBorder="1" applyAlignment="1">
      <alignment horizontal="right" vertical="center"/>
    </xf>
    <xf numFmtId="49" fontId="4" fillId="3" borderId="16" xfId="0" applyNumberFormat="1" applyFont="1" applyFill="1" applyBorder="1" applyAlignment="1">
      <alignment horizontal="center" vertical="center"/>
    </xf>
    <xf numFmtId="2" fontId="8" fillId="3" borderId="15" xfId="0" applyNumberFormat="1" applyFont="1" applyFill="1" applyBorder="1" applyAlignment="1">
      <alignment horizontal="center" vertical="center"/>
    </xf>
    <xf numFmtId="2" fontId="4" fillId="3" borderId="16" xfId="0" applyNumberFormat="1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1" xfId="0" quotePrefix="1" applyFont="1" applyFill="1" applyBorder="1" applyAlignment="1">
      <alignment horizontal="center" vertical="center" wrapText="1"/>
    </xf>
    <xf numFmtId="37" fontId="4" fillId="6" borderId="11" xfId="1" applyFont="1" applyFill="1" applyBorder="1" applyAlignment="1">
      <alignment horizontal="center" vertical="center" wrapText="1"/>
    </xf>
    <xf numFmtId="49" fontId="4" fillId="6" borderId="11" xfId="1" applyNumberFormat="1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4" fontId="27" fillId="3" borderId="16" xfId="0" applyNumberFormat="1" applyFont="1" applyFill="1" applyBorder="1" applyAlignment="1">
      <alignment horizontal="right" vertical="center"/>
    </xf>
    <xf numFmtId="4" fontId="27" fillId="3" borderId="23" xfId="0" applyNumberFormat="1" applyFont="1" applyFill="1" applyBorder="1" applyAlignment="1">
      <alignment horizontal="right" vertical="center"/>
    </xf>
    <xf numFmtId="4" fontId="5" fillId="3" borderId="13" xfId="3" applyNumberFormat="1" applyFont="1" applyFill="1" applyBorder="1" applyAlignment="1">
      <alignment horizontal="right" vertical="center"/>
    </xf>
    <xf numFmtId="0" fontId="1" fillId="0" borderId="0" xfId="3" applyFont="1" applyBorder="1" applyAlignment="1">
      <alignment vertical="center"/>
    </xf>
    <xf numFmtId="0" fontId="6" fillId="0" borderId="27" xfId="3" applyFont="1" applyBorder="1" applyAlignment="1">
      <alignment horizontal="center" vertical="center"/>
    </xf>
    <xf numFmtId="0" fontId="5" fillId="0" borderId="16" xfId="3" applyFont="1" applyBorder="1" applyAlignment="1">
      <alignment horizontal="center" vertical="center"/>
    </xf>
    <xf numFmtId="0" fontId="5" fillId="0" borderId="28" xfId="3" applyFont="1" applyBorder="1" applyAlignment="1">
      <alignment horizontal="center" vertical="center"/>
    </xf>
    <xf numFmtId="0" fontId="8" fillId="0" borderId="19" xfId="3" quotePrefix="1" applyFont="1" applyBorder="1" applyAlignment="1">
      <alignment horizontal="left" vertical="center" wrapText="1"/>
    </xf>
    <xf numFmtId="164" fontId="8" fillId="0" borderId="22" xfId="3" quotePrefix="1" applyNumberFormat="1" applyFont="1" applyBorder="1" applyAlignment="1">
      <alignment horizontal="center" vertical="center"/>
    </xf>
    <xf numFmtId="165" fontId="8" fillId="0" borderId="21" xfId="3" applyNumberFormat="1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 wrapText="1"/>
    </xf>
    <xf numFmtId="0" fontId="4" fillId="0" borderId="15" xfId="3" quotePrefix="1" applyFont="1" applyBorder="1" applyAlignment="1">
      <alignment horizontal="center" vertical="center"/>
    </xf>
    <xf numFmtId="0" fontId="4" fillId="0" borderId="20" xfId="3" quotePrefix="1" applyFont="1" applyBorder="1" applyAlignment="1">
      <alignment horizontal="center" vertical="center"/>
    </xf>
    <xf numFmtId="0" fontId="6" fillId="0" borderId="18" xfId="3" applyFont="1" applyBorder="1" applyAlignment="1">
      <alignment horizontal="left" vertical="center"/>
    </xf>
    <xf numFmtId="2" fontId="4" fillId="0" borderId="15" xfId="3" quotePrefix="1" applyNumberFormat="1" applyFont="1" applyBorder="1" applyAlignment="1">
      <alignment horizontal="center" vertical="center"/>
    </xf>
    <xf numFmtId="165" fontId="4" fillId="0" borderId="20" xfId="3" applyNumberFormat="1" applyFont="1" applyBorder="1" applyAlignment="1">
      <alignment horizontal="center" vertical="center"/>
    </xf>
    <xf numFmtId="0" fontId="8" fillId="0" borderId="18" xfId="3" applyFont="1" applyBorder="1" applyAlignment="1">
      <alignment horizontal="left" vertical="center"/>
    </xf>
    <xf numFmtId="164" fontId="8" fillId="0" borderId="15" xfId="3" quotePrefix="1" applyNumberFormat="1" applyFont="1" applyBorder="1" applyAlignment="1">
      <alignment horizontal="center" vertical="center"/>
    </xf>
    <xf numFmtId="165" fontId="8" fillId="0" borderId="20" xfId="3" applyNumberFormat="1" applyFont="1" applyBorder="1" applyAlignment="1">
      <alignment horizontal="center" vertical="center"/>
    </xf>
    <xf numFmtId="0" fontId="8" fillId="0" borderId="18" xfId="3" quotePrefix="1" applyFont="1" applyBorder="1" applyAlignment="1">
      <alignment horizontal="left" vertical="center"/>
    </xf>
    <xf numFmtId="2" fontId="8" fillId="0" borderId="15" xfId="3" quotePrefix="1" applyNumberFormat="1" applyFont="1" applyBorder="1" applyAlignment="1">
      <alignment horizontal="center" vertical="center"/>
    </xf>
    <xf numFmtId="170" fontId="4" fillId="0" borderId="20" xfId="3" applyNumberFormat="1" applyFont="1" applyBorder="1" applyAlignment="1">
      <alignment horizontal="center" vertical="center"/>
    </xf>
    <xf numFmtId="164" fontId="8" fillId="0" borderId="18" xfId="3" applyNumberFormat="1" applyFont="1" applyBorder="1" applyAlignment="1">
      <alignment horizontal="left" vertical="center"/>
    </xf>
    <xf numFmtId="164" fontId="7" fillId="0" borderId="15" xfId="3" quotePrefix="1" applyNumberFormat="1" applyFont="1" applyBorder="1" applyAlignment="1">
      <alignment horizontal="center" vertical="center"/>
    </xf>
    <xf numFmtId="165" fontId="8" fillId="0" borderId="0" xfId="3" applyNumberFormat="1" applyFont="1" applyBorder="1" applyAlignment="1">
      <alignment horizontal="center" vertical="center"/>
    </xf>
    <xf numFmtId="164" fontId="4" fillId="0" borderId="15" xfId="3" quotePrefix="1" applyNumberFormat="1" applyFont="1" applyBorder="1" applyAlignment="1">
      <alignment horizontal="center" vertical="center"/>
    </xf>
    <xf numFmtId="164" fontId="8" fillId="0" borderId="18" xfId="3" applyNumberFormat="1" applyFont="1" applyBorder="1" applyAlignment="1">
      <alignment horizontal="left" vertical="center" wrapText="1"/>
    </xf>
    <xf numFmtId="164" fontId="8" fillId="0" borderId="15" xfId="3" applyNumberFormat="1" applyFont="1" applyBorder="1" applyAlignment="1">
      <alignment horizontal="center" vertical="center"/>
    </xf>
    <xf numFmtId="2" fontId="6" fillId="0" borderId="15" xfId="3" applyNumberFormat="1" applyFont="1" applyBorder="1" applyAlignment="1">
      <alignment horizontal="center" vertical="center"/>
    </xf>
    <xf numFmtId="14" fontId="4" fillId="0" borderId="20" xfId="3" quotePrefix="1" applyNumberFormat="1" applyFont="1" applyBorder="1" applyAlignment="1">
      <alignment horizontal="center" vertical="center"/>
    </xf>
    <xf numFmtId="0" fontId="8" fillId="0" borderId="18" xfId="3" quotePrefix="1" applyFont="1" applyBorder="1" applyAlignment="1">
      <alignment horizontal="left" vertical="center" wrapText="1"/>
    </xf>
    <xf numFmtId="0" fontId="8" fillId="0" borderId="15" xfId="3" quotePrefix="1" applyFont="1" applyBorder="1" applyAlignment="1">
      <alignment horizontal="center" vertical="center"/>
    </xf>
    <xf numFmtId="0" fontId="6" fillId="0" borderId="18" xfId="3" quotePrefix="1" applyFont="1" applyBorder="1" applyAlignment="1">
      <alignment horizontal="left" vertical="center"/>
    </xf>
    <xf numFmtId="164" fontId="6" fillId="0" borderId="15" xfId="3" applyNumberFormat="1" applyFont="1" applyBorder="1" applyAlignment="1">
      <alignment horizontal="center" vertical="center"/>
    </xf>
    <xf numFmtId="165" fontId="4" fillId="0" borderId="15" xfId="3" applyNumberFormat="1" applyFont="1" applyBorder="1" applyAlignment="1">
      <alignment horizontal="center" vertical="center"/>
    </xf>
    <xf numFmtId="165" fontId="8" fillId="0" borderId="15" xfId="3" applyNumberFormat="1" applyFont="1" applyBorder="1" applyAlignment="1">
      <alignment horizontal="center" vertical="center"/>
    </xf>
    <xf numFmtId="170" fontId="4" fillId="0" borderId="15" xfId="3" applyNumberFormat="1" applyFont="1" applyBorder="1" applyAlignment="1">
      <alignment horizontal="center" vertical="center"/>
    </xf>
    <xf numFmtId="0" fontId="1" fillId="0" borderId="15" xfId="3" applyFont="1" applyBorder="1" applyAlignment="1">
      <alignment vertical="center"/>
    </xf>
    <xf numFmtId="14" fontId="4" fillId="0" borderId="15" xfId="3" quotePrefix="1" applyNumberFormat="1" applyFont="1" applyBorder="1" applyAlignment="1">
      <alignment horizontal="center" vertical="center"/>
    </xf>
    <xf numFmtId="165" fontId="8" fillId="0" borderId="22" xfId="3" applyNumberFormat="1" applyFont="1" applyBorder="1" applyAlignment="1">
      <alignment horizontal="center" vertical="center"/>
    </xf>
    <xf numFmtId="0" fontId="5" fillId="0" borderId="29" xfId="3" applyFont="1" applyBorder="1" applyAlignment="1">
      <alignment horizontal="center" vertical="center"/>
    </xf>
    <xf numFmtId="0" fontId="4" fillId="0" borderId="30" xfId="3" quotePrefix="1" applyFont="1" applyBorder="1" applyAlignment="1">
      <alignment horizontal="center" vertical="center"/>
    </xf>
    <xf numFmtId="1" fontId="4" fillId="0" borderId="30" xfId="3" applyNumberFormat="1" applyFont="1" applyBorder="1" applyAlignment="1">
      <alignment horizontal="center" vertical="center"/>
    </xf>
    <xf numFmtId="1" fontId="8" fillId="0" borderId="30" xfId="3" applyNumberFormat="1" applyFont="1" applyBorder="1" applyAlignment="1">
      <alignment horizontal="center" vertical="center"/>
    </xf>
    <xf numFmtId="165" fontId="8" fillId="0" borderId="30" xfId="3" applyNumberFormat="1" applyFont="1" applyBorder="1" applyAlignment="1">
      <alignment horizontal="center" vertical="center"/>
    </xf>
    <xf numFmtId="170" fontId="4" fillId="0" borderId="30" xfId="3" applyNumberFormat="1" applyFont="1" applyBorder="1" applyAlignment="1">
      <alignment horizontal="center" vertical="center"/>
    </xf>
    <xf numFmtId="165" fontId="4" fillId="0" borderId="30" xfId="3" applyNumberFormat="1" applyFont="1" applyBorder="1" applyAlignment="1">
      <alignment horizontal="center" vertical="center"/>
    </xf>
    <xf numFmtId="1" fontId="8" fillId="0" borderId="31" xfId="3" applyNumberFormat="1" applyFont="1" applyBorder="1" applyAlignment="1">
      <alignment horizontal="center" vertical="center"/>
    </xf>
    <xf numFmtId="4" fontId="4" fillId="3" borderId="0" xfId="3" applyNumberFormat="1" applyFont="1" applyFill="1" applyBorder="1" applyAlignment="1">
      <alignment horizontal="right" vertical="center"/>
    </xf>
    <xf numFmtId="4" fontId="4" fillId="3" borderId="0" xfId="3" applyNumberFormat="1" applyFont="1" applyFill="1" applyBorder="1" applyAlignment="1">
      <alignment vertical="center"/>
    </xf>
    <xf numFmtId="4" fontId="5" fillId="3" borderId="23" xfId="3" applyNumberFormat="1" applyFont="1" applyFill="1" applyBorder="1" applyAlignment="1">
      <alignment horizontal="right" vertical="center"/>
    </xf>
    <xf numFmtId="4" fontId="6" fillId="3" borderId="23" xfId="3" applyNumberFormat="1" applyFont="1" applyFill="1" applyBorder="1" applyAlignment="1">
      <alignment vertical="center"/>
    </xf>
    <xf numFmtId="4" fontId="8" fillId="3" borderId="23" xfId="3" applyNumberFormat="1" applyFont="1" applyFill="1" applyBorder="1" applyAlignment="1">
      <alignment horizontal="right" vertical="center"/>
    </xf>
    <xf numFmtId="4" fontId="6" fillId="3" borderId="23" xfId="3" applyNumberFormat="1" applyFont="1" applyFill="1" applyBorder="1" applyAlignment="1">
      <alignment horizontal="right" vertical="center"/>
    </xf>
    <xf numFmtId="4" fontId="6" fillId="3" borderId="23" xfId="2" applyNumberFormat="1" applyFont="1" applyFill="1" applyBorder="1" applyAlignment="1">
      <alignment vertical="center"/>
    </xf>
    <xf numFmtId="4" fontId="8" fillId="3" borderId="23" xfId="3" applyNumberFormat="1" applyFont="1" applyFill="1" applyBorder="1" applyAlignment="1">
      <alignment vertical="center"/>
    </xf>
    <xf numFmtId="4" fontId="5" fillId="0" borderId="15" xfId="3" applyNumberFormat="1" applyFont="1" applyBorder="1" applyAlignment="1">
      <alignment horizontal="right" vertical="center"/>
    </xf>
    <xf numFmtId="4" fontId="4" fillId="3" borderId="15" xfId="3" applyNumberFormat="1" applyFont="1" applyFill="1" applyBorder="1" applyAlignment="1">
      <alignment horizontal="right" vertical="center"/>
    </xf>
    <xf numFmtId="4" fontId="6" fillId="0" borderId="15" xfId="3" applyNumberFormat="1" applyFont="1" applyBorder="1" applyAlignment="1">
      <alignment horizontal="right" vertical="center"/>
    </xf>
    <xf numFmtId="4" fontId="6" fillId="0" borderId="15" xfId="3" applyNumberFormat="1" applyFont="1" applyBorder="1" applyAlignment="1">
      <alignment vertical="center"/>
    </xf>
    <xf numFmtId="4" fontId="4" fillId="3" borderId="15" xfId="3" applyNumberFormat="1" applyFont="1" applyFill="1" applyBorder="1" applyAlignment="1">
      <alignment vertical="center"/>
    </xf>
    <xf numFmtId="4" fontId="8" fillId="0" borderId="15" xfId="3" applyNumberFormat="1" applyFont="1" applyBorder="1" applyAlignment="1">
      <alignment horizontal="right" vertical="center" wrapText="1"/>
    </xf>
    <xf numFmtId="4" fontId="6" fillId="0" borderId="15" xfId="3" applyNumberFormat="1" applyFont="1" applyBorder="1" applyAlignment="1">
      <alignment horizontal="right" vertical="center" wrapText="1"/>
    </xf>
    <xf numFmtId="4" fontId="8" fillId="0" borderId="15" xfId="3" applyNumberFormat="1" applyFont="1" applyBorder="1" applyAlignment="1">
      <alignment horizontal="right" vertical="center"/>
    </xf>
    <xf numFmtId="4" fontId="6" fillId="0" borderId="15" xfId="2" applyNumberFormat="1" applyFont="1" applyFill="1" applyBorder="1" applyAlignment="1">
      <alignment vertical="center"/>
    </xf>
    <xf numFmtId="4" fontId="8" fillId="3" borderId="15" xfId="3" applyNumberFormat="1" applyFont="1" applyFill="1" applyBorder="1" applyAlignment="1">
      <alignment vertical="center"/>
    </xf>
    <xf numFmtId="4" fontId="6" fillId="3" borderId="15" xfId="2" applyNumberFormat="1" applyFont="1" applyFill="1" applyBorder="1" applyAlignment="1">
      <alignment vertical="center"/>
    </xf>
    <xf numFmtId="4" fontId="4" fillId="0" borderId="15" xfId="3" applyNumberFormat="1" applyFont="1" applyBorder="1" applyAlignment="1">
      <alignment vertical="center"/>
    </xf>
    <xf numFmtId="0" fontId="1" fillId="0" borderId="16" xfId="3" applyFont="1" applyBorder="1" applyAlignment="1">
      <alignment vertical="center"/>
    </xf>
    <xf numFmtId="0" fontId="1" fillId="0" borderId="15" xfId="3" applyFont="1" applyBorder="1"/>
    <xf numFmtId="167" fontId="1" fillId="0" borderId="15" xfId="2" applyNumberFormat="1" applyFont="1" applyFill="1" applyBorder="1" applyAlignment="1">
      <alignment vertical="center"/>
    </xf>
    <xf numFmtId="10" fontId="8" fillId="0" borderId="15" xfId="2" applyNumberFormat="1" applyFont="1" applyFill="1" applyBorder="1" applyAlignment="1">
      <alignment vertical="center"/>
    </xf>
    <xf numFmtId="4" fontId="8" fillId="0" borderId="22" xfId="3" applyNumberFormat="1" applyFont="1" applyBorder="1" applyAlignment="1">
      <alignment horizontal="right" vertical="center"/>
    </xf>
    <xf numFmtId="0" fontId="8" fillId="3" borderId="5" xfId="3" applyFont="1" applyFill="1" applyBorder="1"/>
    <xf numFmtId="0" fontId="5" fillId="3" borderId="16" xfId="3" applyFont="1" applyFill="1" applyBorder="1" applyAlignment="1">
      <alignment horizontal="center" vertical="center"/>
    </xf>
    <xf numFmtId="0" fontId="4" fillId="3" borderId="15" xfId="3" quotePrefix="1" applyFont="1" applyFill="1" applyBorder="1" applyAlignment="1">
      <alignment horizontal="center" vertical="center"/>
    </xf>
    <xf numFmtId="2" fontId="4" fillId="3" borderId="15" xfId="3" applyNumberFormat="1" applyFont="1" applyFill="1" applyBorder="1" applyAlignment="1">
      <alignment horizontal="center" vertical="center"/>
    </xf>
    <xf numFmtId="2" fontId="8" fillId="3" borderId="15" xfId="3" applyNumberFormat="1" applyFont="1" applyFill="1" applyBorder="1" applyAlignment="1">
      <alignment horizontal="center" vertical="center"/>
    </xf>
    <xf numFmtId="165" fontId="8" fillId="3" borderId="15" xfId="3" applyNumberFormat="1" applyFont="1" applyFill="1" applyBorder="1" applyAlignment="1">
      <alignment horizontal="center" vertical="center"/>
    </xf>
    <xf numFmtId="170" fontId="4" fillId="3" borderId="15" xfId="3" applyNumberFormat="1" applyFont="1" applyFill="1" applyBorder="1" applyAlignment="1">
      <alignment horizontal="center" vertical="center"/>
    </xf>
    <xf numFmtId="0" fontId="1" fillId="3" borderId="15" xfId="3" applyFont="1" applyFill="1" applyBorder="1" applyAlignment="1">
      <alignment vertical="center"/>
    </xf>
    <xf numFmtId="165" fontId="4" fillId="3" borderId="15" xfId="3" applyNumberFormat="1" applyFont="1" applyFill="1" applyBorder="1" applyAlignment="1">
      <alignment horizontal="center" vertical="center"/>
    </xf>
    <xf numFmtId="0" fontId="10" fillId="3" borderId="0" xfId="3" applyFont="1" applyFill="1"/>
    <xf numFmtId="4" fontId="8" fillId="3" borderId="6" xfId="3" applyNumberFormat="1" applyFont="1" applyFill="1" applyBorder="1" applyAlignment="1">
      <alignment horizontal="right" vertical="top"/>
    </xf>
    <xf numFmtId="4" fontId="6" fillId="3" borderId="16" xfId="3" applyNumberFormat="1" applyFont="1" applyFill="1" applyBorder="1" applyAlignment="1">
      <alignment horizontal="right" vertical="center"/>
    </xf>
    <xf numFmtId="4" fontId="6" fillId="3" borderId="32" xfId="3" applyNumberFormat="1" applyFont="1" applyFill="1" applyBorder="1" applyAlignment="1">
      <alignment horizontal="right" vertical="center"/>
    </xf>
    <xf numFmtId="4" fontId="5" fillId="3" borderId="15" xfId="3" applyNumberFormat="1" applyFont="1" applyFill="1" applyBorder="1" applyAlignment="1">
      <alignment horizontal="right" vertical="center"/>
    </xf>
    <xf numFmtId="4" fontId="6" fillId="3" borderId="15" xfId="3" applyNumberFormat="1" applyFont="1" applyFill="1" applyBorder="1" applyAlignment="1">
      <alignment horizontal="right" vertical="center"/>
    </xf>
    <xf numFmtId="4" fontId="6" fillId="3" borderId="15" xfId="3" applyNumberFormat="1" applyFont="1" applyFill="1" applyBorder="1" applyAlignment="1">
      <alignment vertical="center"/>
    </xf>
    <xf numFmtId="4" fontId="8" fillId="3" borderId="15" xfId="3" applyNumberFormat="1" applyFont="1" applyFill="1" applyBorder="1" applyAlignment="1">
      <alignment horizontal="right" vertical="center" wrapText="1"/>
    </xf>
    <xf numFmtId="4" fontId="8" fillId="3" borderId="23" xfId="3" applyNumberFormat="1" applyFont="1" applyFill="1" applyBorder="1" applyAlignment="1">
      <alignment horizontal="right" vertical="center" wrapText="1"/>
    </xf>
    <xf numFmtId="4" fontId="6" fillId="3" borderId="15" xfId="3" applyNumberFormat="1" applyFont="1" applyFill="1" applyBorder="1" applyAlignment="1">
      <alignment horizontal="right" vertical="center" wrapText="1"/>
    </xf>
    <xf numFmtId="4" fontId="6" fillId="3" borderId="23" xfId="3" applyNumberFormat="1" applyFont="1" applyFill="1" applyBorder="1" applyAlignment="1">
      <alignment horizontal="right" vertical="center" wrapText="1"/>
    </xf>
    <xf numFmtId="4" fontId="8" fillId="3" borderId="15" xfId="3" applyNumberFormat="1" applyFont="1" applyFill="1" applyBorder="1" applyAlignment="1">
      <alignment horizontal="right" vertical="center"/>
    </xf>
    <xf numFmtId="4" fontId="4" fillId="3" borderId="23" xfId="3" applyNumberFormat="1" applyFont="1" applyFill="1" applyBorder="1" applyAlignment="1">
      <alignment vertical="center"/>
    </xf>
    <xf numFmtId="4" fontId="8" fillId="3" borderId="22" xfId="3" applyNumberFormat="1" applyFont="1" applyFill="1" applyBorder="1" applyAlignment="1">
      <alignment vertical="center"/>
    </xf>
    <xf numFmtId="4" fontId="8" fillId="3" borderId="24" xfId="3" applyNumberFormat="1" applyFont="1" applyFill="1" applyBorder="1" applyAlignment="1">
      <alignment vertical="center"/>
    </xf>
    <xf numFmtId="4" fontId="8" fillId="3" borderId="8" xfId="3" applyNumberFormat="1" applyFont="1" applyFill="1" applyBorder="1" applyAlignment="1">
      <alignment vertical="center"/>
    </xf>
    <xf numFmtId="4" fontId="10" fillId="3" borderId="0" xfId="3" applyNumberFormat="1" applyFont="1" applyFill="1"/>
    <xf numFmtId="0" fontId="5" fillId="0" borderId="18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left" vertical="center"/>
    </xf>
    <xf numFmtId="0" fontId="6" fillId="0" borderId="18" xfId="3" quotePrefix="1" applyFont="1" applyBorder="1" applyAlignment="1">
      <alignment horizontal="center" vertical="center" wrapText="1"/>
    </xf>
    <xf numFmtId="0" fontId="6" fillId="0" borderId="27" xfId="3" quotePrefix="1" applyFont="1" applyBorder="1" applyAlignment="1">
      <alignment horizontal="center" vertical="center" wrapText="1"/>
    </xf>
    <xf numFmtId="0" fontId="8" fillId="0" borderId="16" xfId="3" quotePrefix="1" applyFont="1" applyBorder="1" applyAlignment="1">
      <alignment horizontal="center" vertical="center"/>
    </xf>
    <xf numFmtId="165" fontId="8" fillId="0" borderId="16" xfId="3" applyNumberFormat="1" applyFont="1" applyBorder="1" applyAlignment="1">
      <alignment horizontal="center" vertical="center"/>
    </xf>
    <xf numFmtId="165" fontId="8" fillId="0" borderId="28" xfId="3" applyNumberFormat="1" applyFont="1" applyBorder="1" applyAlignment="1">
      <alignment horizontal="center" vertical="center"/>
    </xf>
    <xf numFmtId="165" fontId="8" fillId="0" borderId="29" xfId="3" applyNumberFormat="1" applyFont="1" applyBorder="1" applyAlignment="1">
      <alignment horizontal="center" vertical="center"/>
    </xf>
    <xf numFmtId="165" fontId="8" fillId="3" borderId="16" xfId="3" applyNumberFormat="1" applyFont="1" applyFill="1" applyBorder="1" applyAlignment="1">
      <alignment horizontal="center" vertical="center"/>
    </xf>
    <xf numFmtId="0" fontId="4" fillId="0" borderId="18" xfId="3" quotePrefix="1" applyFont="1" applyBorder="1" applyAlignment="1">
      <alignment horizontal="left" vertical="center" wrapText="1"/>
    </xf>
    <xf numFmtId="0" fontId="4" fillId="0" borderId="18" xfId="3" quotePrefix="1" applyFont="1" applyBorder="1" applyAlignment="1">
      <alignment horizontal="left" vertical="center"/>
    </xf>
    <xf numFmtId="0" fontId="4" fillId="6" borderId="11" xfId="3" applyFont="1" applyFill="1" applyBorder="1" applyAlignment="1">
      <alignment horizontal="center" vertical="center"/>
    </xf>
    <xf numFmtId="0" fontId="4" fillId="6" borderId="11" xfId="3" applyFont="1" applyFill="1" applyBorder="1" applyAlignment="1">
      <alignment horizontal="center" vertical="center" wrapText="1"/>
    </xf>
    <xf numFmtId="2" fontId="4" fillId="3" borderId="11" xfId="3" applyNumberFormat="1" applyFont="1" applyFill="1" applyBorder="1" applyAlignment="1">
      <alignment horizontal="center" vertical="center"/>
    </xf>
    <xf numFmtId="14" fontId="11" fillId="3" borderId="0" xfId="3" quotePrefix="1" applyNumberFormat="1" applyFont="1" applyFill="1" applyAlignment="1">
      <alignment horizontal="left"/>
    </xf>
    <xf numFmtId="0" fontId="16" fillId="3" borderId="0" xfId="3" applyFont="1" applyFill="1"/>
    <xf numFmtId="165" fontId="8" fillId="3" borderId="17" xfId="3" applyNumberFormat="1" applyFont="1" applyFill="1" applyBorder="1" applyAlignment="1">
      <alignment horizontal="center" vertical="center"/>
    </xf>
    <xf numFmtId="165" fontId="8" fillId="3" borderId="7" xfId="3" applyNumberFormat="1" applyFont="1" applyFill="1" applyBorder="1" applyAlignment="1">
      <alignment horizontal="center" vertical="center"/>
    </xf>
    <xf numFmtId="165" fontId="8" fillId="3" borderId="0" xfId="3" applyNumberFormat="1" applyFont="1" applyFill="1" applyBorder="1" applyAlignment="1">
      <alignment horizontal="center" vertical="center"/>
    </xf>
    <xf numFmtId="165" fontId="8" fillId="3" borderId="8" xfId="3" applyNumberFormat="1" applyFont="1" applyFill="1" applyBorder="1" applyAlignment="1">
      <alignment horizontal="center" vertical="center"/>
    </xf>
    <xf numFmtId="1" fontId="14" fillId="3" borderId="7" xfId="3" applyNumberFormat="1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 vertical="center"/>
    </xf>
    <xf numFmtId="1" fontId="4" fillId="3" borderId="7" xfId="3" applyNumberFormat="1" applyFont="1" applyFill="1" applyBorder="1" applyAlignment="1">
      <alignment horizontal="center" vertical="center"/>
    </xf>
    <xf numFmtId="0" fontId="4" fillId="3" borderId="34" xfId="3" applyFont="1" applyFill="1" applyBorder="1" applyAlignment="1">
      <alignment horizontal="center" vertical="center"/>
    </xf>
    <xf numFmtId="0" fontId="5" fillId="3" borderId="35" xfId="3" applyFont="1" applyFill="1" applyBorder="1" applyAlignment="1">
      <alignment horizontal="center" vertical="center"/>
    </xf>
    <xf numFmtId="0" fontId="4" fillId="3" borderId="10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0" fontId="4" fillId="3" borderId="7" xfId="3" applyFont="1" applyFill="1" applyBorder="1" applyAlignment="1">
      <alignment horizontal="left" vertical="center" wrapText="1"/>
    </xf>
    <xf numFmtId="0" fontId="6" fillId="3" borderId="7" xfId="3" applyFont="1" applyFill="1" applyBorder="1" applyAlignment="1">
      <alignment horizontal="center" vertical="center"/>
    </xf>
    <xf numFmtId="0" fontId="8" fillId="3" borderId="7" xfId="3" applyFont="1" applyFill="1" applyBorder="1" applyAlignment="1">
      <alignment horizontal="left" vertical="center"/>
    </xf>
    <xf numFmtId="164" fontId="8" fillId="3" borderId="7" xfId="3" applyNumberFormat="1" applyFont="1" applyFill="1" applyBorder="1" applyAlignment="1">
      <alignment horizontal="left" vertical="center"/>
    </xf>
    <xf numFmtId="0" fontId="6" fillId="3" borderId="7" xfId="3" quotePrefix="1" applyFont="1" applyFill="1" applyBorder="1" applyAlignment="1">
      <alignment horizontal="center" vertical="center"/>
    </xf>
    <xf numFmtId="0" fontId="8" fillId="3" borderId="7" xfId="3" quotePrefix="1" applyFont="1" applyFill="1" applyBorder="1" applyAlignment="1">
      <alignment horizontal="left" vertical="center" wrapText="1"/>
    </xf>
    <xf numFmtId="0" fontId="6" fillId="3" borderId="34" xfId="3" applyFont="1" applyFill="1" applyBorder="1" applyAlignment="1">
      <alignment horizontal="center" vertical="center"/>
    </xf>
    <xf numFmtId="0" fontId="8" fillId="3" borderId="35" xfId="3" quotePrefix="1" applyFont="1" applyFill="1" applyBorder="1" applyAlignment="1">
      <alignment horizontal="left" vertical="center" wrapText="1"/>
    </xf>
    <xf numFmtId="0" fontId="4" fillId="3" borderId="36" xfId="3" quotePrefix="1" applyFont="1" applyFill="1" applyBorder="1" applyAlignment="1">
      <alignment horizontal="center" vertical="center" wrapText="1"/>
    </xf>
    <xf numFmtId="165" fontId="4" fillId="3" borderId="37" xfId="3" applyNumberFormat="1" applyFont="1" applyFill="1" applyBorder="1" applyAlignment="1">
      <alignment horizontal="center" vertical="center"/>
    </xf>
    <xf numFmtId="165" fontId="4" fillId="3" borderId="9" xfId="3" applyNumberFormat="1" applyFont="1" applyFill="1" applyBorder="1" applyAlignment="1">
      <alignment horizontal="center" vertical="center"/>
    </xf>
    <xf numFmtId="165" fontId="4" fillId="3" borderId="6" xfId="3" applyNumberFormat="1" applyFont="1" applyFill="1" applyBorder="1" applyAlignment="1">
      <alignment horizontal="center" vertical="center"/>
    </xf>
    <xf numFmtId="165" fontId="4" fillId="3" borderId="8" xfId="3" applyNumberFormat="1" applyFont="1" applyFill="1" applyBorder="1" applyAlignment="1">
      <alignment horizontal="center" vertical="center"/>
    </xf>
    <xf numFmtId="14" fontId="4" fillId="3" borderId="8" xfId="3" quotePrefix="1" applyNumberFormat="1" applyFont="1" applyFill="1" applyBorder="1" applyAlignment="1">
      <alignment horizontal="center" vertical="center"/>
    </xf>
    <xf numFmtId="165" fontId="4" fillId="3" borderId="36" xfId="3" applyNumberFormat="1" applyFont="1" applyFill="1" applyBorder="1" applyAlignment="1">
      <alignment horizontal="center" vertical="center"/>
    </xf>
    <xf numFmtId="165" fontId="8" fillId="3" borderId="37" xfId="3" applyNumberFormat="1" applyFont="1" applyFill="1" applyBorder="1" applyAlignment="1">
      <alignment horizontal="center" vertical="center"/>
    </xf>
    <xf numFmtId="0" fontId="4" fillId="3" borderId="16" xfId="3" quotePrefix="1" applyFont="1" applyFill="1" applyBorder="1" applyAlignment="1">
      <alignment horizontal="center" vertical="center" wrapText="1"/>
    </xf>
    <xf numFmtId="0" fontId="5" fillId="3" borderId="38" xfId="3" quotePrefix="1" applyFont="1" applyFill="1" applyBorder="1" applyAlignment="1">
      <alignment horizontal="center" vertical="center"/>
    </xf>
    <xf numFmtId="0" fontId="4" fillId="3" borderId="39" xfId="3" applyFont="1" applyFill="1" applyBorder="1" applyAlignment="1">
      <alignment horizontal="center" vertical="center"/>
    </xf>
    <xf numFmtId="0" fontId="4" fillId="3" borderId="40" xfId="3" applyFont="1" applyFill="1" applyBorder="1" applyAlignment="1">
      <alignment horizontal="center" vertical="center"/>
    </xf>
    <xf numFmtId="0" fontId="4" fillId="3" borderId="15" xfId="3" applyFont="1" applyFill="1" applyBorder="1" applyAlignment="1">
      <alignment horizontal="center" vertical="center"/>
    </xf>
    <xf numFmtId="0" fontId="5" fillId="3" borderId="15" xfId="3" quotePrefix="1" applyFont="1" applyFill="1" applyBorder="1" applyAlignment="1">
      <alignment horizontal="center" vertical="center"/>
    </xf>
    <xf numFmtId="2" fontId="4" fillId="3" borderId="15" xfId="3" quotePrefix="1" applyNumberFormat="1" applyFont="1" applyFill="1" applyBorder="1" applyAlignment="1">
      <alignment horizontal="center" vertical="center"/>
    </xf>
    <xf numFmtId="164" fontId="8" fillId="3" borderId="15" xfId="3" quotePrefix="1" applyNumberFormat="1" applyFont="1" applyFill="1" applyBorder="1" applyAlignment="1">
      <alignment horizontal="center" vertical="center"/>
    </xf>
    <xf numFmtId="164" fontId="4" fillId="3" borderId="15" xfId="3" quotePrefix="1" applyNumberFormat="1" applyFont="1" applyFill="1" applyBorder="1" applyAlignment="1">
      <alignment horizontal="center" vertical="center"/>
    </xf>
    <xf numFmtId="2" fontId="8" fillId="3" borderId="15" xfId="3" quotePrefix="1" applyNumberFormat="1" applyFont="1" applyFill="1" applyBorder="1" applyAlignment="1">
      <alignment horizontal="center" vertical="center"/>
    </xf>
    <xf numFmtId="164" fontId="4" fillId="3" borderId="15" xfId="3" applyNumberFormat="1" applyFont="1" applyFill="1" applyBorder="1" applyAlignment="1">
      <alignment horizontal="center" vertical="center"/>
    </xf>
    <xf numFmtId="164" fontId="8" fillId="3" borderId="15" xfId="3" applyNumberFormat="1" applyFont="1" applyFill="1" applyBorder="1" applyAlignment="1">
      <alignment horizontal="center" vertical="center"/>
    </xf>
    <xf numFmtId="0" fontId="5" fillId="3" borderId="16" xfId="3" quotePrefix="1" applyFont="1" applyFill="1" applyBorder="1" applyAlignment="1">
      <alignment horizontal="center" vertical="center"/>
    </xf>
    <xf numFmtId="2" fontId="8" fillId="3" borderId="22" xfId="3" quotePrefix="1" applyNumberFormat="1" applyFont="1" applyFill="1" applyBorder="1" applyAlignment="1">
      <alignment horizontal="center" vertical="center"/>
    </xf>
    <xf numFmtId="165" fontId="4" fillId="3" borderId="38" xfId="3" applyNumberFormat="1" applyFont="1" applyFill="1" applyBorder="1" applyAlignment="1">
      <alignment horizontal="center" vertical="center"/>
    </xf>
    <xf numFmtId="165" fontId="4" fillId="3" borderId="39" xfId="3" applyNumberFormat="1" applyFont="1" applyFill="1" applyBorder="1" applyAlignment="1">
      <alignment horizontal="center" vertical="center"/>
    </xf>
    <xf numFmtId="165" fontId="4" fillId="3" borderId="40" xfId="3" applyNumberFormat="1" applyFont="1" applyFill="1" applyBorder="1" applyAlignment="1">
      <alignment horizontal="center" vertical="center"/>
    </xf>
    <xf numFmtId="14" fontId="4" fillId="3" borderId="15" xfId="3" quotePrefix="1" applyNumberFormat="1" applyFont="1" applyFill="1" applyBorder="1" applyAlignment="1">
      <alignment horizontal="center" vertical="center"/>
    </xf>
    <xf numFmtId="165" fontId="4" fillId="3" borderId="16" xfId="3" applyNumberFormat="1" applyFont="1" applyFill="1" applyBorder="1" applyAlignment="1">
      <alignment horizontal="center" vertical="center"/>
    </xf>
    <xf numFmtId="165" fontId="8" fillId="3" borderId="22" xfId="3" applyNumberFormat="1" applyFont="1" applyFill="1" applyBorder="1" applyAlignment="1">
      <alignment horizontal="center" vertical="center"/>
    </xf>
    <xf numFmtId="0" fontId="4" fillId="3" borderId="34" xfId="3" quotePrefix="1" applyFont="1" applyFill="1" applyBorder="1" applyAlignment="1">
      <alignment horizontal="center" vertical="center" wrapText="1"/>
    </xf>
    <xf numFmtId="165" fontId="4" fillId="3" borderId="35" xfId="3" applyNumberFormat="1" applyFont="1" applyFill="1" applyBorder="1" applyAlignment="1">
      <alignment horizontal="center" vertical="center"/>
    </xf>
    <xf numFmtId="165" fontId="4" fillId="3" borderId="10" xfId="3" applyNumberFormat="1" applyFont="1" applyFill="1" applyBorder="1" applyAlignment="1">
      <alignment horizontal="center" vertical="center"/>
    </xf>
    <xf numFmtId="165" fontId="4" fillId="3" borderId="4" xfId="3" applyNumberFormat="1" applyFont="1" applyFill="1" applyBorder="1" applyAlignment="1">
      <alignment horizontal="center" vertical="center"/>
    </xf>
    <xf numFmtId="165" fontId="4" fillId="3" borderId="7" xfId="3" applyNumberFormat="1" applyFont="1" applyFill="1" applyBorder="1" applyAlignment="1">
      <alignment horizontal="center" vertical="center"/>
    </xf>
    <xf numFmtId="0" fontId="8" fillId="3" borderId="7" xfId="3" applyFont="1" applyFill="1" applyBorder="1" applyAlignment="1">
      <alignment horizontal="center" vertical="center"/>
    </xf>
    <xf numFmtId="14" fontId="4" fillId="3" borderId="7" xfId="3" quotePrefix="1" applyNumberFormat="1" applyFont="1" applyFill="1" applyBorder="1" applyAlignment="1">
      <alignment horizontal="center" vertical="center"/>
    </xf>
    <xf numFmtId="165" fontId="4" fillId="3" borderId="34" xfId="3" applyNumberFormat="1" applyFont="1" applyFill="1" applyBorder="1" applyAlignment="1">
      <alignment horizontal="center" vertical="center"/>
    </xf>
    <xf numFmtId="3" fontId="4" fillId="3" borderId="7" xfId="3" applyNumberFormat="1" applyFont="1" applyFill="1" applyBorder="1" applyAlignment="1">
      <alignment horizontal="center" vertical="center"/>
    </xf>
    <xf numFmtId="0" fontId="8" fillId="3" borderId="35" xfId="3" applyFont="1" applyFill="1" applyBorder="1" applyAlignment="1">
      <alignment horizontal="center" vertical="center"/>
    </xf>
    <xf numFmtId="4" fontId="4" fillId="3" borderId="15" xfId="3" applyNumberFormat="1" applyFont="1" applyFill="1" applyBorder="1" applyAlignment="1">
      <alignment horizontal="center" vertical="center"/>
    </xf>
    <xf numFmtId="2" fontId="8" fillId="3" borderId="22" xfId="3" applyNumberFormat="1" applyFont="1" applyFill="1" applyBorder="1" applyAlignment="1">
      <alignment horizontal="center" vertical="center"/>
    </xf>
    <xf numFmtId="0" fontId="4" fillId="3" borderId="25" xfId="3" quotePrefix="1" applyFont="1" applyFill="1" applyBorder="1" applyAlignment="1">
      <alignment horizontal="center" vertical="center" wrapText="1"/>
    </xf>
    <xf numFmtId="165" fontId="4" fillId="3" borderId="41" xfId="3" applyNumberFormat="1" applyFont="1" applyFill="1" applyBorder="1" applyAlignment="1">
      <alignment horizontal="center" vertical="center"/>
    </xf>
    <xf numFmtId="165" fontId="4" fillId="3" borderId="12" xfId="3" applyNumberFormat="1" applyFont="1" applyFill="1" applyBorder="1" applyAlignment="1">
      <alignment horizontal="center" vertical="center"/>
    </xf>
    <xf numFmtId="165" fontId="4" fillId="3" borderId="5" xfId="3" applyNumberFormat="1" applyFont="1" applyFill="1" applyBorder="1" applyAlignment="1">
      <alignment horizontal="center" vertical="center"/>
    </xf>
    <xf numFmtId="165" fontId="4" fillId="3" borderId="0" xfId="3" applyNumberFormat="1" applyFont="1" applyFill="1" applyBorder="1" applyAlignment="1">
      <alignment horizontal="center" vertical="center"/>
    </xf>
    <xf numFmtId="4" fontId="8" fillId="3" borderId="0" xfId="3" applyNumberFormat="1" applyFont="1" applyFill="1" applyBorder="1" applyAlignment="1">
      <alignment vertical="center"/>
    </xf>
    <xf numFmtId="2" fontId="8" fillId="3" borderId="0" xfId="3" applyNumberFormat="1" applyFont="1" applyFill="1" applyBorder="1" applyAlignment="1">
      <alignment horizontal="center" vertical="center"/>
    </xf>
    <xf numFmtId="4" fontId="4" fillId="3" borderId="0" xfId="3" applyNumberFormat="1" applyFont="1" applyFill="1" applyBorder="1" applyAlignment="1">
      <alignment horizontal="right" vertical="center" wrapText="1"/>
    </xf>
    <xf numFmtId="14" fontId="4" fillId="3" borderId="0" xfId="3" quotePrefix="1" applyNumberFormat="1" applyFont="1" applyFill="1" applyBorder="1" applyAlignment="1">
      <alignment horizontal="center" vertical="center"/>
    </xf>
    <xf numFmtId="165" fontId="4" fillId="3" borderId="25" xfId="3" applyNumberFormat="1" applyFont="1" applyFill="1" applyBorder="1" applyAlignment="1">
      <alignment horizontal="center" vertical="center"/>
    </xf>
    <xf numFmtId="4" fontId="14" fillId="3" borderId="0" xfId="3" applyNumberFormat="1" applyFont="1" applyFill="1" applyBorder="1" applyAlignment="1">
      <alignment horizontal="right" vertical="center"/>
    </xf>
    <xf numFmtId="4" fontId="8" fillId="3" borderId="41" xfId="3" applyNumberFormat="1" applyFont="1" applyFill="1" applyBorder="1" applyAlignment="1">
      <alignment vertical="center"/>
    </xf>
    <xf numFmtId="4" fontId="4" fillId="3" borderId="9" xfId="3" applyNumberFormat="1" applyFont="1" applyFill="1" applyBorder="1" applyAlignment="1">
      <alignment vertical="center"/>
    </xf>
    <xf numFmtId="4" fontId="6" fillId="3" borderId="38" xfId="3" applyNumberFormat="1" applyFont="1" applyFill="1" applyBorder="1" applyAlignment="1">
      <alignment horizontal="right" vertical="center"/>
    </xf>
    <xf numFmtId="4" fontId="4" fillId="3" borderId="39" xfId="3" applyNumberFormat="1" applyFont="1" applyFill="1" applyBorder="1" applyAlignment="1">
      <alignment vertical="center"/>
    </xf>
    <xf numFmtId="4" fontId="4" fillId="3" borderId="40" xfId="3" applyNumberFormat="1" applyFont="1" applyFill="1" applyBorder="1" applyAlignment="1">
      <alignment vertical="center"/>
    </xf>
    <xf numFmtId="4" fontId="4" fillId="3" borderId="15" xfId="3" applyNumberFormat="1" applyFont="1" applyFill="1" applyBorder="1" applyAlignment="1">
      <alignment horizontal="right" vertical="center" wrapText="1"/>
    </xf>
    <xf numFmtId="4" fontId="4" fillId="3" borderId="22" xfId="3" applyNumberFormat="1" applyFont="1" applyFill="1" applyBorder="1" applyAlignment="1">
      <alignment vertical="center"/>
    </xf>
    <xf numFmtId="4" fontId="14" fillId="3" borderId="9" xfId="3" applyNumberFormat="1" applyFont="1" applyFill="1" applyBorder="1" applyAlignment="1">
      <alignment vertical="center"/>
    </xf>
    <xf numFmtId="4" fontId="8" fillId="3" borderId="9" xfId="3" applyNumberFormat="1" applyFont="1" applyFill="1" applyBorder="1" applyAlignment="1">
      <alignment horizontal="right" vertical="center"/>
    </xf>
    <xf numFmtId="4" fontId="4" fillId="3" borderId="9" xfId="3" applyNumberFormat="1" applyFont="1" applyFill="1" applyBorder="1" applyAlignment="1">
      <alignment horizontal="right" vertical="center" wrapText="1"/>
    </xf>
    <xf numFmtId="4" fontId="14" fillId="3" borderId="9" xfId="3" applyNumberFormat="1" applyFont="1" applyFill="1" applyBorder="1" applyAlignment="1">
      <alignment horizontal="right" vertical="center" wrapText="1"/>
    </xf>
    <xf numFmtId="4" fontId="14" fillId="4" borderId="12" xfId="3" applyNumberFormat="1" applyFont="1" applyFill="1" applyBorder="1" applyAlignment="1">
      <alignment vertical="center"/>
    </xf>
    <xf numFmtId="4" fontId="14" fillId="3" borderId="9" xfId="3" applyNumberFormat="1" applyFont="1" applyFill="1" applyBorder="1" applyAlignment="1">
      <alignment horizontal="right" vertical="center"/>
    </xf>
    <xf numFmtId="4" fontId="8" fillId="3" borderId="12" xfId="3" applyNumberFormat="1" applyFont="1" applyFill="1" applyBorder="1" applyAlignment="1">
      <alignment horizontal="right" vertical="center"/>
    </xf>
    <xf numFmtId="4" fontId="8" fillId="3" borderId="22" xfId="3" applyNumberFormat="1" applyFont="1" applyFill="1" applyBorder="1" applyAlignment="1">
      <alignment horizontal="right" vertical="center"/>
    </xf>
    <xf numFmtId="2" fontId="4" fillId="3" borderId="22" xfId="3" applyNumberFormat="1" applyFont="1" applyFill="1" applyBorder="1" applyAlignment="1">
      <alignment horizontal="center" vertical="center"/>
    </xf>
    <xf numFmtId="164" fontId="4" fillId="3" borderId="7" xfId="3" applyNumberFormat="1" applyFont="1" applyFill="1" applyBorder="1" applyAlignment="1">
      <alignment horizontal="center" vertical="center"/>
    </xf>
    <xf numFmtId="4" fontId="4" fillId="3" borderId="0" xfId="2" applyNumberFormat="1" applyFont="1" applyFill="1" applyBorder="1" applyAlignment="1">
      <alignment vertical="center"/>
    </xf>
    <xf numFmtId="0" fontId="24" fillId="3" borderId="17" xfId="3" applyFont="1" applyFill="1" applyBorder="1" applyAlignment="1">
      <alignment horizontal="center" vertical="center"/>
    </xf>
    <xf numFmtId="0" fontId="24" fillId="3" borderId="33" xfId="3" applyFont="1" applyFill="1" applyBorder="1"/>
    <xf numFmtId="0" fontId="24" fillId="3" borderId="36" xfId="3" applyFont="1" applyFill="1" applyBorder="1"/>
    <xf numFmtId="0" fontId="24" fillId="3" borderId="8" xfId="3" applyFont="1" applyFill="1" applyBorder="1" applyAlignment="1">
      <alignment horizontal="center" vertical="center"/>
    </xf>
    <xf numFmtId="0" fontId="4" fillId="3" borderId="16" xfId="3" applyFont="1" applyFill="1" applyBorder="1" applyAlignment="1">
      <alignment horizontal="center" vertical="center"/>
    </xf>
    <xf numFmtId="0" fontId="8" fillId="3" borderId="15" xfId="3" applyFont="1" applyFill="1" applyBorder="1" applyAlignment="1">
      <alignment horizontal="center" vertical="center"/>
    </xf>
    <xf numFmtId="0" fontId="24" fillId="3" borderId="16" xfId="3" applyFont="1" applyFill="1" applyBorder="1"/>
    <xf numFmtId="0" fontId="24" fillId="3" borderId="15" xfId="3" applyFont="1" applyFill="1" applyBorder="1" applyAlignment="1">
      <alignment horizontal="center" vertical="center"/>
    </xf>
    <xf numFmtId="0" fontId="24" fillId="3" borderId="34" xfId="3" applyFont="1" applyFill="1" applyBorder="1"/>
    <xf numFmtId="0" fontId="24" fillId="3" borderId="7" xfId="3" applyFont="1" applyFill="1" applyBorder="1" applyAlignment="1">
      <alignment horizontal="center" vertical="center"/>
    </xf>
    <xf numFmtId="0" fontId="24" fillId="3" borderId="25" xfId="3" applyFont="1" applyFill="1" applyBorder="1"/>
    <xf numFmtId="0" fontId="24" fillId="3" borderId="0" xfId="3" applyFont="1" applyFill="1" applyBorder="1" applyAlignment="1">
      <alignment horizontal="center" vertical="center"/>
    </xf>
    <xf numFmtId="4" fontId="8" fillId="3" borderId="0" xfId="3" applyNumberFormat="1" applyFont="1" applyFill="1" applyBorder="1" applyAlignment="1">
      <alignment horizontal="right" vertical="center"/>
    </xf>
    <xf numFmtId="4" fontId="14" fillId="3" borderId="12" xfId="3" applyNumberFormat="1" applyFont="1" applyFill="1" applyBorder="1" applyAlignment="1">
      <alignment horizontal="right" vertical="center"/>
    </xf>
    <xf numFmtId="0" fontId="4" fillId="3" borderId="27" xfId="3" applyFont="1" applyFill="1" applyBorder="1" applyAlignment="1">
      <alignment horizontal="center" vertical="center"/>
    </xf>
    <xf numFmtId="0" fontId="4" fillId="3" borderId="18" xfId="3" applyFont="1" applyFill="1" applyBorder="1" applyAlignment="1">
      <alignment horizontal="left" vertical="center" indent="1"/>
    </xf>
    <xf numFmtId="0" fontId="6" fillId="3" borderId="18" xfId="3" quotePrefix="1" applyFont="1" applyFill="1" applyBorder="1" applyAlignment="1">
      <alignment horizontal="left" vertical="center" wrapText="1" indent="1"/>
    </xf>
    <xf numFmtId="164" fontId="8" fillId="0" borderId="19" xfId="3" applyNumberFormat="1" applyFont="1" applyBorder="1" applyAlignment="1">
      <alignment horizontal="left" vertical="center"/>
    </xf>
    <xf numFmtId="165" fontId="8" fillId="3" borderId="42" xfId="3" applyNumberFormat="1" applyFont="1" applyFill="1" applyBorder="1" applyAlignment="1">
      <alignment horizontal="center" vertical="center"/>
    </xf>
    <xf numFmtId="165" fontId="8" fillId="3" borderId="14" xfId="3" applyNumberFormat="1" applyFont="1" applyFill="1" applyBorder="1" applyAlignment="1">
      <alignment horizontal="center" vertical="center"/>
    </xf>
    <xf numFmtId="0" fontId="8" fillId="3" borderId="43" xfId="3" applyFont="1" applyFill="1" applyBorder="1" applyAlignment="1">
      <alignment horizontal="center" vertical="center"/>
    </xf>
    <xf numFmtId="4" fontId="8" fillId="3" borderId="26" xfId="3" applyNumberFormat="1" applyFont="1" applyFill="1" applyBorder="1" applyAlignment="1">
      <alignment horizontal="right" vertical="center"/>
    </xf>
    <xf numFmtId="0" fontId="6" fillId="3" borderId="44" xfId="3" applyFont="1" applyFill="1" applyBorder="1" applyAlignment="1">
      <alignment horizontal="center" vertical="center" wrapText="1"/>
    </xf>
    <xf numFmtId="4" fontId="6" fillId="3" borderId="45" xfId="3" applyNumberFormat="1" applyFont="1" applyFill="1" applyBorder="1" applyAlignment="1">
      <alignment horizontal="right" vertical="center" wrapText="1"/>
    </xf>
    <xf numFmtId="4" fontId="5" fillId="3" borderId="11" xfId="3" applyNumberFormat="1" applyFont="1" applyFill="1" applyBorder="1" applyAlignment="1">
      <alignment horizontal="center" vertical="center" wrapText="1"/>
    </xf>
    <xf numFmtId="0" fontId="6" fillId="3" borderId="11" xfId="3" applyFont="1" applyFill="1" applyBorder="1" applyAlignment="1">
      <alignment horizontal="center" vertical="center" wrapText="1"/>
    </xf>
    <xf numFmtId="4" fontId="6" fillId="3" borderId="11" xfId="3" applyNumberFormat="1" applyFont="1" applyFill="1" applyBorder="1" applyAlignment="1">
      <alignment horizontal="right" vertical="center" wrapText="1"/>
    </xf>
    <xf numFmtId="4" fontId="8" fillId="3" borderId="45" xfId="3" applyNumberFormat="1" applyFont="1" applyFill="1" applyBorder="1" applyAlignment="1">
      <alignment horizontal="right" vertical="center" wrapText="1"/>
    </xf>
    <xf numFmtId="0" fontId="8" fillId="3" borderId="44" xfId="3" applyFont="1" applyFill="1" applyBorder="1" applyAlignment="1">
      <alignment horizontal="left" vertical="center" wrapText="1"/>
    </xf>
    <xf numFmtId="2" fontId="8" fillId="3" borderId="11" xfId="3" quotePrefix="1" applyNumberFormat="1" applyFont="1" applyFill="1" applyBorder="1" applyAlignment="1">
      <alignment horizontal="center" vertical="center" wrapText="1"/>
    </xf>
    <xf numFmtId="165" fontId="8" fillId="3" borderId="11" xfId="3" applyNumberFormat="1" applyFont="1" applyFill="1" applyBorder="1" applyAlignment="1">
      <alignment horizontal="center" vertical="center"/>
    </xf>
    <xf numFmtId="0" fontId="8" fillId="3" borderId="11" xfId="3" applyNumberFormat="1" applyFont="1" applyFill="1" applyBorder="1" applyAlignment="1">
      <alignment horizontal="center" vertical="center"/>
    </xf>
    <xf numFmtId="4" fontId="8" fillId="3" borderId="11" xfId="3" applyNumberFormat="1" applyFont="1" applyFill="1" applyBorder="1" applyAlignment="1">
      <alignment horizontal="right" vertical="center"/>
    </xf>
    <xf numFmtId="4" fontId="8" fillId="3" borderId="11" xfId="3" applyNumberFormat="1" applyFont="1" applyFill="1" applyBorder="1" applyAlignment="1">
      <alignment horizontal="right" vertical="center" wrapText="1"/>
    </xf>
    <xf numFmtId="0" fontId="6" fillId="0" borderId="18" xfId="3" quotePrefix="1" applyFont="1" applyBorder="1" applyAlignment="1">
      <alignment horizontal="left" vertical="center" wrapText="1"/>
    </xf>
    <xf numFmtId="0" fontId="28" fillId="3" borderId="18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7" xfId="3" quotePrefix="1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3" borderId="0" xfId="3" applyFont="1" applyFill="1" applyAlignment="1">
      <alignment horizontal="center" vertical="center"/>
    </xf>
    <xf numFmtId="0" fontId="4" fillId="3" borderId="0" xfId="3" applyFont="1" applyFill="1" applyAlignment="1">
      <alignment horizontal="center" vertical="center" wrapText="1"/>
    </xf>
    <xf numFmtId="0" fontId="4" fillId="3" borderId="0" xfId="3" quotePrefix="1" applyFont="1" applyFill="1" applyAlignment="1">
      <alignment horizontal="center" vertical="center" wrapText="1"/>
    </xf>
    <xf numFmtId="0" fontId="18" fillId="3" borderId="0" xfId="3" applyFont="1" applyFill="1" applyAlignment="1">
      <alignment horizontal="center" vertical="center"/>
    </xf>
    <xf numFmtId="0" fontId="6" fillId="3" borderId="7" xfId="3" applyFont="1" applyFill="1" applyBorder="1" applyAlignment="1">
      <alignment horizontal="center" vertical="center" wrapText="1"/>
    </xf>
    <xf numFmtId="0" fontId="6" fillId="3" borderId="0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6" fillId="3" borderId="10" xfId="3" applyFont="1" applyFill="1" applyBorder="1" applyAlignment="1">
      <alignment horizontal="center" vertical="center" wrapText="1"/>
    </xf>
    <xf numFmtId="0" fontId="6" fillId="3" borderId="12" xfId="3" applyFont="1" applyFill="1" applyBorder="1" applyAlignment="1">
      <alignment horizontal="center" vertical="center" wrapText="1"/>
    </xf>
    <xf numFmtId="0" fontId="6" fillId="3" borderId="9" xfId="3" applyFont="1" applyFill="1" applyBorder="1" applyAlignment="1">
      <alignment horizontal="center" vertical="center" wrapText="1"/>
    </xf>
    <xf numFmtId="0" fontId="4" fillId="0" borderId="0" xfId="3" quotePrefix="1" applyFont="1" applyAlignment="1">
      <alignment horizontal="center" vertical="center" wrapText="1"/>
    </xf>
    <xf numFmtId="0" fontId="8" fillId="3" borderId="46" xfId="3" applyFont="1" applyFill="1" applyBorder="1" applyAlignment="1">
      <alignment horizontal="center" vertical="center" wrapText="1"/>
    </xf>
    <xf numFmtId="0" fontId="8" fillId="3" borderId="47" xfId="3" applyFont="1" applyFill="1" applyBorder="1" applyAlignment="1">
      <alignment horizontal="center" vertical="center" wrapText="1"/>
    </xf>
    <xf numFmtId="0" fontId="8" fillId="3" borderId="48" xfId="3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3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CC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6</xdr:row>
      <xdr:rowOff>304800</xdr:rowOff>
    </xdr:from>
    <xdr:to>
      <xdr:col>11</xdr:col>
      <xdr:colOff>0</xdr:colOff>
      <xdr:row>6</xdr:row>
      <xdr:rowOff>304800</xdr:rowOff>
    </xdr:to>
    <xdr:sp macro="" textlink="">
      <xdr:nvSpPr>
        <xdr:cNvPr id="2" name="Line 2" hidden="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3411200" y="25812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7</xdr:row>
      <xdr:rowOff>297180</xdr:rowOff>
    </xdr:from>
    <xdr:to>
      <xdr:col>10</xdr:col>
      <xdr:colOff>0</xdr:colOff>
      <xdr:row>7</xdr:row>
      <xdr:rowOff>297180</xdr:rowOff>
    </xdr:to>
    <xdr:sp macro="" textlink="">
      <xdr:nvSpPr>
        <xdr:cNvPr id="3" name="Line 3" hidden="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2115800" y="315468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4"/>
  <sheetViews>
    <sheetView showGridLines="0" zoomScaleNormal="100" zoomScaleSheetLayoutView="70" workbookViewId="0">
      <selection activeCell="B11" sqref="B11"/>
    </sheetView>
  </sheetViews>
  <sheetFormatPr baseColWidth="10" defaultColWidth="11.42578125" defaultRowHeight="15.75" x14ac:dyDescent="0.25"/>
  <cols>
    <col min="1" max="1" width="5.42578125" style="4" customWidth="1"/>
    <col min="2" max="2" width="42.140625" style="7" customWidth="1"/>
    <col min="3" max="3" width="13.85546875" style="7" customWidth="1"/>
    <col min="4" max="4" width="16.28515625" style="8" customWidth="1"/>
    <col min="5" max="5" width="19.140625" style="8" customWidth="1"/>
    <col min="6" max="7" width="15" style="8" hidden="1" customWidth="1"/>
    <col min="8" max="8" width="15" style="8" customWidth="1"/>
    <col min="9" max="9" width="30" style="8" hidden="1" customWidth="1"/>
    <col min="10" max="10" width="22.85546875" style="7" customWidth="1"/>
    <col min="11" max="11" width="23.28515625" style="7" customWidth="1"/>
    <col min="12" max="12" width="21.28515625" style="1" hidden="1" customWidth="1"/>
    <col min="13" max="13" width="15" style="1" hidden="1" customWidth="1"/>
    <col min="14" max="14" width="16.85546875" style="1" customWidth="1"/>
    <col min="15" max="15" width="23.7109375" style="1" customWidth="1"/>
    <col min="16" max="16384" width="11.42578125" style="1"/>
  </cols>
  <sheetData>
    <row r="1" spans="1:13" ht="18" customHeight="1" x14ac:dyDescent="0.2">
      <c r="B1" s="10"/>
      <c r="C1" s="10"/>
      <c r="D1" s="12"/>
      <c r="E1" s="12"/>
      <c r="F1" s="12"/>
      <c r="G1" s="12"/>
      <c r="H1" s="12"/>
      <c r="I1" s="12"/>
      <c r="J1" s="10"/>
      <c r="K1" s="13"/>
    </row>
    <row r="2" spans="1:13" ht="21.95" customHeight="1" x14ac:dyDescent="0.2">
      <c r="B2" s="370" t="s">
        <v>0</v>
      </c>
      <c r="C2" s="370"/>
      <c r="D2" s="370"/>
      <c r="E2" s="370"/>
      <c r="F2" s="370"/>
      <c r="G2" s="370"/>
      <c r="H2" s="370"/>
      <c r="I2" s="370"/>
      <c r="J2" s="370"/>
      <c r="K2" s="370"/>
    </row>
    <row r="3" spans="1:13" s="2" customFormat="1" ht="21.95" customHeight="1" x14ac:dyDescent="0.2">
      <c r="A3" s="4"/>
      <c r="B3" s="370" t="s">
        <v>1</v>
      </c>
      <c r="C3" s="370"/>
      <c r="D3" s="370"/>
      <c r="E3" s="370"/>
      <c r="F3" s="370"/>
      <c r="G3" s="370"/>
      <c r="H3" s="370"/>
      <c r="I3" s="370"/>
      <c r="J3" s="370"/>
      <c r="K3" s="370"/>
    </row>
    <row r="4" spans="1:13" s="2" customFormat="1" ht="42.75" customHeight="1" x14ac:dyDescent="0.2">
      <c r="A4" s="4"/>
      <c r="B4" s="372" t="s">
        <v>315</v>
      </c>
      <c r="C4" s="373"/>
      <c r="D4" s="373"/>
      <c r="E4" s="373"/>
      <c r="F4" s="373"/>
      <c r="G4" s="373"/>
      <c r="H4" s="373"/>
      <c r="I4" s="373"/>
      <c r="J4" s="373"/>
      <c r="K4" s="373"/>
    </row>
    <row r="5" spans="1:13" s="2" customFormat="1" ht="21.95" customHeight="1" x14ac:dyDescent="0.25">
      <c r="A5" s="4"/>
      <c r="B5" s="371" t="s">
        <v>11</v>
      </c>
      <c r="C5" s="371"/>
      <c r="D5" s="371"/>
      <c r="E5" s="371"/>
      <c r="F5" s="371"/>
      <c r="G5" s="371"/>
      <c r="H5" s="371"/>
      <c r="I5" s="371"/>
      <c r="J5" s="371"/>
      <c r="K5" s="371"/>
    </row>
    <row r="6" spans="1:13" s="2" customFormat="1" ht="21.95" customHeight="1" x14ac:dyDescent="0.2">
      <c r="A6" s="4"/>
      <c r="B6" s="370" t="s">
        <v>2</v>
      </c>
      <c r="C6" s="370"/>
      <c r="D6" s="370"/>
      <c r="E6" s="370"/>
      <c r="F6" s="370"/>
      <c r="G6" s="370"/>
      <c r="H6" s="370"/>
      <c r="I6" s="370"/>
      <c r="J6" s="370"/>
      <c r="K6" s="370"/>
    </row>
    <row r="7" spans="1:13" s="3" customFormat="1" ht="57" customHeight="1" x14ac:dyDescent="0.2">
      <c r="A7" s="5"/>
      <c r="B7" s="126" t="s">
        <v>3</v>
      </c>
      <c r="C7" s="127" t="s">
        <v>311</v>
      </c>
      <c r="D7" s="128" t="s">
        <v>312</v>
      </c>
      <c r="E7" s="128" t="s">
        <v>313</v>
      </c>
      <c r="F7" s="129" t="s">
        <v>12</v>
      </c>
      <c r="G7" s="129" t="s">
        <v>13</v>
      </c>
      <c r="H7" s="129" t="s">
        <v>314</v>
      </c>
      <c r="I7" s="128"/>
      <c r="J7" s="130" t="s">
        <v>6</v>
      </c>
      <c r="K7" s="130" t="s">
        <v>4</v>
      </c>
    </row>
    <row r="8" spans="1:13" s="2" customFormat="1" ht="30" customHeight="1" x14ac:dyDescent="0.2">
      <c r="A8" s="4"/>
      <c r="B8" s="102" t="s">
        <v>5</v>
      </c>
      <c r="C8" s="105"/>
      <c r="D8" s="110"/>
      <c r="E8" s="110"/>
      <c r="F8" s="110"/>
      <c r="G8" s="123">
        <f>+(G10*J10+G12*J12)/J8</f>
        <v>6793.4861163077858</v>
      </c>
      <c r="H8" s="125">
        <f>+G8/360</f>
        <v>18.870794767521627</v>
      </c>
      <c r="I8" s="115">
        <f>+I9+I11</f>
        <v>244789885093.28</v>
      </c>
      <c r="J8" s="131">
        <f>+J9+J11</f>
        <v>36033029.420000002</v>
      </c>
      <c r="K8" s="132">
        <f>+K9+K11</f>
        <v>35929254.170000002</v>
      </c>
      <c r="L8" s="99">
        <f>+L9+L11</f>
        <v>1442157.6351000001</v>
      </c>
      <c r="M8" s="16">
        <f>+L8/K8</f>
        <v>4.0138813577270532E-2</v>
      </c>
    </row>
    <row r="9" spans="1:13" s="2" customFormat="1" ht="22.9" customHeight="1" x14ac:dyDescent="0.2">
      <c r="A9" s="4"/>
      <c r="B9" s="102" t="s">
        <v>7</v>
      </c>
      <c r="C9" s="106"/>
      <c r="D9" s="111"/>
      <c r="E9" s="111"/>
      <c r="F9" s="111"/>
      <c r="G9" s="111"/>
      <c r="H9" s="111"/>
      <c r="I9" s="116">
        <f>SUM(I10)</f>
        <v>222863964076</v>
      </c>
      <c r="J9" s="116">
        <f>SUM(J10)</f>
        <v>24077783.5</v>
      </c>
      <c r="K9" s="119">
        <f>SUM(K10)</f>
        <v>23974008.25</v>
      </c>
      <c r="L9" s="100">
        <f>SUM(L10)</f>
        <v>1083500.2575000001</v>
      </c>
      <c r="M9" s="15">
        <f>+L9/K9</f>
        <v>4.5194789548802294E-2</v>
      </c>
    </row>
    <row r="10" spans="1:13" s="2" customFormat="1" ht="24.75" customHeight="1" x14ac:dyDescent="0.2">
      <c r="A10" s="4"/>
      <c r="B10" s="103" t="s">
        <v>8</v>
      </c>
      <c r="C10" s="107">
        <v>4.5</v>
      </c>
      <c r="D10" s="112">
        <v>43206</v>
      </c>
      <c r="E10" s="112">
        <v>54894</v>
      </c>
      <c r="F10" s="112">
        <v>45504</v>
      </c>
      <c r="G10" s="112">
        <f>DAYS360(F10,E10)</f>
        <v>9256</v>
      </c>
      <c r="H10" s="124">
        <f>+G10/360</f>
        <v>25.711111111111112</v>
      </c>
      <c r="I10" s="117">
        <f>+G10*J10</f>
        <v>222863964076</v>
      </c>
      <c r="J10" s="117">
        <v>24077783.5</v>
      </c>
      <c r="K10" s="120">
        <v>23974008.25</v>
      </c>
      <c r="L10" s="101">
        <f>+J10*C10/100</f>
        <v>1083500.2575000001</v>
      </c>
      <c r="M10" s="14">
        <f>+L10/K10</f>
        <v>4.5194789548802294E-2</v>
      </c>
    </row>
    <row r="11" spans="1:13" ht="30" customHeight="1" x14ac:dyDescent="0.2">
      <c r="B11" s="369" t="s">
        <v>10</v>
      </c>
      <c r="C11" s="108"/>
      <c r="D11" s="113"/>
      <c r="E11" s="113"/>
      <c r="F11" s="113"/>
      <c r="G11" s="113"/>
      <c r="H11" s="108"/>
      <c r="I11" s="116">
        <f>SUM(I12)</f>
        <v>21925921017.279999</v>
      </c>
      <c r="J11" s="116">
        <f>SUM(J12)</f>
        <v>11955245.92</v>
      </c>
      <c r="K11" s="119">
        <f>SUM(K12)</f>
        <v>11955245.92</v>
      </c>
      <c r="L11" s="100">
        <f>SUM(L12)</f>
        <v>358657.37760000001</v>
      </c>
      <c r="M11" s="15">
        <f>+L11/K11</f>
        <v>3.0000000000000002E-2</v>
      </c>
    </row>
    <row r="12" spans="1:13" ht="33" customHeight="1" x14ac:dyDescent="0.2">
      <c r="B12" s="104" t="s">
        <v>9</v>
      </c>
      <c r="C12" s="109">
        <v>3</v>
      </c>
      <c r="D12" s="114">
        <v>43712</v>
      </c>
      <c r="E12" s="114">
        <v>47365</v>
      </c>
      <c r="F12" s="114">
        <v>45504</v>
      </c>
      <c r="G12" s="114">
        <f>DAYS360(F12,E12)</f>
        <v>1834</v>
      </c>
      <c r="H12" s="109">
        <f>+G12/360</f>
        <v>5.0944444444444441</v>
      </c>
      <c r="I12" s="118">
        <f>+G12*J12</f>
        <v>21925921017.279999</v>
      </c>
      <c r="J12" s="122">
        <v>11955245.92</v>
      </c>
      <c r="K12" s="121">
        <v>11955245.92</v>
      </c>
      <c r="L12" s="101">
        <f>+J12*C12/100</f>
        <v>358657.37760000001</v>
      </c>
      <c r="M12" s="14">
        <f>+L12/K12</f>
        <v>3.0000000000000002E-2</v>
      </c>
    </row>
    <row r="13" spans="1:13" ht="12.75" customHeight="1" x14ac:dyDescent="0.25">
      <c r="B13" s="11"/>
      <c r="C13" s="9"/>
      <c r="D13" s="9"/>
      <c r="E13" s="9"/>
      <c r="F13" s="9"/>
      <c r="G13" s="9"/>
      <c r="H13" s="9"/>
      <c r="I13" s="9"/>
      <c r="J13" s="10"/>
      <c r="K13" s="6"/>
    </row>
    <row r="14" spans="1:13" ht="12.75" customHeight="1" x14ac:dyDescent="0.25">
      <c r="B14" s="11"/>
      <c r="C14" s="9"/>
      <c r="D14" s="9"/>
      <c r="E14" s="9"/>
      <c r="F14" s="9"/>
      <c r="G14" s="9"/>
      <c r="H14" s="9"/>
      <c r="I14" s="9"/>
      <c r="J14" s="10"/>
      <c r="K14" s="6"/>
    </row>
  </sheetData>
  <mergeCells count="5">
    <mergeCell ref="B2:K2"/>
    <mergeCell ref="B3:K3"/>
    <mergeCell ref="B5:K5"/>
    <mergeCell ref="B4:K4"/>
    <mergeCell ref="B6:K6"/>
  </mergeCells>
  <phoneticPr fontId="0" type="noConversion"/>
  <printOptions horizontalCentered="1"/>
  <pageMargins left="0" right="0" top="0.23622047244094491" bottom="0.59055118110236227" header="0" footer="0.39370078740157483"/>
  <pageSetup scale="50" fitToHeight="5" orientation="portrait" horizontalDpi="1200" verticalDpi="1200" r:id="rId1"/>
  <headerFooter alignWithMargins="0"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R399"/>
  <sheetViews>
    <sheetView showGridLines="0" tabSelected="1" showRuler="0" zoomScaleNormal="100" zoomScaleSheetLayoutView="84" zoomScalePageLayoutView="60" workbookViewId="0">
      <selection activeCell="B7" sqref="B7"/>
    </sheetView>
  </sheetViews>
  <sheetFormatPr baseColWidth="10" defaultColWidth="11.42578125" defaultRowHeight="22.5" customHeight="1" x14ac:dyDescent="0.25"/>
  <cols>
    <col min="1" max="1" width="4.5703125" style="19" customWidth="1"/>
    <col min="2" max="2" width="42.140625" style="65" customWidth="1"/>
    <col min="3" max="3" width="14.5703125" style="65" customWidth="1"/>
    <col min="4" max="4" width="16" style="65" customWidth="1"/>
    <col min="5" max="5" width="19.42578125" style="65" customWidth="1"/>
    <col min="6" max="6" width="17.5703125" style="65" hidden="1" customWidth="1"/>
    <col min="7" max="7" width="14.28515625" style="65" hidden="1" customWidth="1"/>
    <col min="8" max="8" width="14.28515625" style="213" customWidth="1"/>
    <col min="9" max="9" width="30.42578125" style="19" hidden="1" customWidth="1"/>
    <col min="10" max="10" width="23" style="213" customWidth="1"/>
    <col min="11" max="11" width="23.140625" style="229" customWidth="1"/>
    <col min="12" max="12" width="18.5703125" style="20" hidden="1" customWidth="1"/>
    <col min="13" max="13" width="7" style="20" hidden="1" customWidth="1"/>
    <col min="14" max="14" width="21.28515625" style="19" hidden="1" customWidth="1"/>
    <col min="15" max="15" width="15.7109375" style="19" hidden="1" customWidth="1"/>
    <col min="16" max="16" width="7.5703125" style="19" customWidth="1"/>
    <col min="17" max="16384" width="11.42578125" style="19"/>
  </cols>
  <sheetData>
    <row r="1" spans="2:15" ht="17.25" customHeight="1" x14ac:dyDescent="0.25">
      <c r="B1" s="17"/>
      <c r="C1" s="18"/>
      <c r="D1" s="18"/>
      <c r="E1" s="18"/>
      <c r="F1" s="18"/>
      <c r="G1" s="18"/>
      <c r="H1" s="204"/>
      <c r="J1" s="204"/>
      <c r="K1" s="214"/>
    </row>
    <row r="2" spans="2:15" ht="21.95" customHeight="1" x14ac:dyDescent="0.25">
      <c r="B2" s="374" t="s">
        <v>0</v>
      </c>
      <c r="C2" s="375"/>
      <c r="D2" s="375"/>
      <c r="E2" s="375"/>
      <c r="F2" s="375"/>
      <c r="G2" s="375"/>
      <c r="H2" s="375"/>
      <c r="I2" s="375"/>
      <c r="J2" s="375"/>
      <c r="K2" s="376"/>
    </row>
    <row r="3" spans="2:15" s="22" customFormat="1" ht="21.95" customHeight="1" x14ac:dyDescent="0.2">
      <c r="B3" s="374" t="s">
        <v>1</v>
      </c>
      <c r="C3" s="375"/>
      <c r="D3" s="375"/>
      <c r="E3" s="375"/>
      <c r="F3" s="375"/>
      <c r="G3" s="375"/>
      <c r="H3" s="375"/>
      <c r="I3" s="375"/>
      <c r="J3" s="375"/>
      <c r="K3" s="376"/>
      <c r="L3" s="21"/>
      <c r="M3" s="21"/>
    </row>
    <row r="4" spans="2:15" s="22" customFormat="1" ht="36.75" customHeight="1" x14ac:dyDescent="0.2">
      <c r="B4" s="377" t="s">
        <v>317</v>
      </c>
      <c r="C4" s="378"/>
      <c r="D4" s="378"/>
      <c r="E4" s="378"/>
      <c r="F4" s="378"/>
      <c r="G4" s="378"/>
      <c r="H4" s="378"/>
      <c r="I4" s="378"/>
      <c r="J4" s="378"/>
      <c r="K4" s="379"/>
      <c r="L4" s="21"/>
      <c r="M4" s="21"/>
    </row>
    <row r="5" spans="2:15" s="22" customFormat="1" ht="21.95" customHeight="1" x14ac:dyDescent="0.2">
      <c r="B5" s="374" t="s">
        <v>14</v>
      </c>
      <c r="C5" s="375"/>
      <c r="D5" s="375"/>
      <c r="E5" s="375"/>
      <c r="F5" s="375"/>
      <c r="G5" s="375"/>
      <c r="H5" s="375"/>
      <c r="I5" s="375"/>
      <c r="J5" s="375"/>
      <c r="K5" s="376"/>
      <c r="L5" s="21"/>
      <c r="M5" s="21"/>
    </row>
    <row r="6" spans="2:15" s="22" customFormat="1" ht="21.95" customHeight="1" x14ac:dyDescent="0.2">
      <c r="B6" s="374" t="s">
        <v>2</v>
      </c>
      <c r="C6" s="375"/>
      <c r="D6" s="375"/>
      <c r="E6" s="375"/>
      <c r="F6" s="375"/>
      <c r="G6" s="375"/>
      <c r="H6" s="375"/>
      <c r="I6" s="375"/>
      <c r="J6" s="375"/>
      <c r="K6" s="376"/>
      <c r="L6" s="21"/>
      <c r="M6" s="21"/>
    </row>
    <row r="7" spans="2:15" s="22" customFormat="1" ht="65.25" customHeight="1" x14ac:dyDescent="0.2">
      <c r="B7" s="126" t="s">
        <v>3</v>
      </c>
      <c r="C7" s="127" t="s">
        <v>316</v>
      </c>
      <c r="D7" s="128" t="s">
        <v>312</v>
      </c>
      <c r="E7" s="128" t="s">
        <v>313</v>
      </c>
      <c r="F7" s="129" t="s">
        <v>12</v>
      </c>
      <c r="G7" s="129" t="s">
        <v>13</v>
      </c>
      <c r="H7" s="129" t="s">
        <v>314</v>
      </c>
      <c r="I7" s="128"/>
      <c r="J7" s="130" t="s">
        <v>6</v>
      </c>
      <c r="K7" s="130" t="s">
        <v>4</v>
      </c>
      <c r="L7" s="21"/>
      <c r="M7" s="21"/>
    </row>
    <row r="8" spans="2:15" s="22" customFormat="1" ht="33" customHeight="1" x14ac:dyDescent="0.2">
      <c r="B8" s="135" t="s">
        <v>5</v>
      </c>
      <c r="C8" s="136"/>
      <c r="D8" s="136"/>
      <c r="E8" s="136"/>
      <c r="F8" s="137"/>
      <c r="G8" s="171"/>
      <c r="H8" s="205"/>
      <c r="I8" s="199"/>
      <c r="J8" s="215">
        <f>J9+J181</f>
        <v>3695841432.6300006</v>
      </c>
      <c r="K8" s="216">
        <f ca="1">K9+K181</f>
        <v>3719868614.1800003</v>
      </c>
      <c r="L8" s="23"/>
      <c r="M8" s="21"/>
    </row>
    <row r="9" spans="2:15" s="22" customFormat="1" ht="39" customHeight="1" x14ac:dyDescent="0.2">
      <c r="B9" s="141" t="s">
        <v>15</v>
      </c>
      <c r="C9" s="142"/>
      <c r="D9" s="142"/>
      <c r="E9" s="142"/>
      <c r="F9" s="143"/>
      <c r="G9" s="172"/>
      <c r="H9" s="206"/>
      <c r="I9" s="168"/>
      <c r="J9" s="218">
        <f>SUM(J13+J21+J59+J24+J29+J52+J65+J140+J159+J171+J164+J149+J151+J161+J154+J178+J70+J105+J143+J111+J45)</f>
        <v>1316897153.0700002</v>
      </c>
      <c r="K9" s="184">
        <f>SUM(K11+K147+K158+K171+K178+K164)</f>
        <v>1316631113.47</v>
      </c>
      <c r="L9" s="21"/>
      <c r="M9" s="23"/>
    </row>
    <row r="10" spans="2:15" s="22" customFormat="1" ht="18.75" customHeight="1" x14ac:dyDescent="0.2">
      <c r="B10" s="230"/>
      <c r="C10" s="142"/>
      <c r="D10" s="142"/>
      <c r="E10" s="142"/>
      <c r="F10" s="143"/>
      <c r="G10" s="172"/>
      <c r="H10" s="206"/>
      <c r="I10" s="168"/>
      <c r="J10" s="217"/>
      <c r="K10" s="181"/>
      <c r="L10" s="21"/>
      <c r="M10" s="23"/>
    </row>
    <row r="11" spans="2:15" s="22" customFormat="1" ht="24" customHeight="1" x14ac:dyDescent="0.2">
      <c r="B11" s="144" t="s">
        <v>16</v>
      </c>
      <c r="C11" s="142"/>
      <c r="D11" s="142"/>
      <c r="E11" s="142"/>
      <c r="F11" s="143"/>
      <c r="G11" s="173">
        <f>+I11/J11</f>
        <v>9866.177460917912</v>
      </c>
      <c r="H11" s="207">
        <f>+G11/360</f>
        <v>27.406048502549755</v>
      </c>
      <c r="I11" s="188">
        <f>SUM(I21+I13+I24+I29+I52+I59+I65+I70+I105+I140+I143+I111+I45)</f>
        <v>5699527599687.0801</v>
      </c>
      <c r="J11" s="218">
        <f>SUM(J21+J13+J24+J29+J52+J59+J65+J70+J105+J140+J143+J111+J45)</f>
        <v>577683466.79999995</v>
      </c>
      <c r="K11" s="184">
        <f>SUM(K21+K13+K24+K29+K52+K59+K65+K70+K105+K140+K143+K111+K45)</f>
        <v>577494161.02999997</v>
      </c>
      <c r="L11" s="21"/>
      <c r="M11" s="21"/>
      <c r="N11" s="24">
        <f>SUM(N21+N13+N24+N29+N52+N59+N65+N70+N105+N140+N143+N111+N45)</f>
        <v>33098333.778136097</v>
      </c>
      <c r="O11" s="25">
        <f>+N11/K11</f>
        <v>5.7313711569140328E-2</v>
      </c>
    </row>
    <row r="12" spans="2:15" s="22" customFormat="1" ht="24" customHeight="1" x14ac:dyDescent="0.2">
      <c r="B12" s="231"/>
      <c r="C12" s="142"/>
      <c r="D12" s="142"/>
      <c r="E12" s="142"/>
      <c r="F12" s="143"/>
      <c r="G12" s="172"/>
      <c r="H12" s="206"/>
      <c r="I12" s="168"/>
      <c r="J12" s="188"/>
      <c r="K12" s="181"/>
      <c r="L12" s="26"/>
      <c r="M12" s="26"/>
      <c r="N12" s="24"/>
      <c r="O12" s="25"/>
    </row>
    <row r="13" spans="2:15" s="22" customFormat="1" ht="24" customHeight="1" x14ac:dyDescent="0.2">
      <c r="B13" s="144" t="s">
        <v>17</v>
      </c>
      <c r="C13" s="145"/>
      <c r="D13" s="165"/>
      <c r="E13" s="165"/>
      <c r="F13" s="146"/>
      <c r="G13" s="173">
        <f>+I13/J13</f>
        <v>539.00000000000011</v>
      </c>
      <c r="H13" s="207">
        <f>+G13/360</f>
        <v>1.4972222222222225</v>
      </c>
      <c r="I13" s="189">
        <f>SUM(I14:I19)</f>
        <v>2847341752.6400003</v>
      </c>
      <c r="J13" s="218">
        <f>SUM(J14:J19)</f>
        <v>5282637.76</v>
      </c>
      <c r="K13" s="184">
        <f>SUM(K14:K19)</f>
        <v>4977197.72</v>
      </c>
      <c r="L13" s="28"/>
      <c r="M13" s="29"/>
      <c r="N13" s="27">
        <f>SUM(N14:N19)</f>
        <v>376387.94040000002</v>
      </c>
    </row>
    <row r="14" spans="2:15" s="22" customFormat="1" ht="24" customHeight="1" x14ac:dyDescent="0.2">
      <c r="B14" s="147" t="s">
        <v>18</v>
      </c>
      <c r="C14" s="148">
        <v>7.125</v>
      </c>
      <c r="D14" s="166">
        <v>39736</v>
      </c>
      <c r="E14" s="166">
        <v>46051</v>
      </c>
      <c r="F14" s="149">
        <v>45504</v>
      </c>
      <c r="G14" s="174">
        <f>DAYS360(F14,E14)</f>
        <v>539</v>
      </c>
      <c r="H14" s="208">
        <f>+G14/360</f>
        <v>1.4972222222222222</v>
      </c>
      <c r="I14" s="194">
        <f>+G14*J14</f>
        <v>696220096.11000001</v>
      </c>
      <c r="J14" s="196">
        <v>1291688.49</v>
      </c>
      <c r="K14" s="183">
        <v>1227104.07</v>
      </c>
      <c r="L14" s="31"/>
      <c r="M14" s="31"/>
      <c r="N14" s="32">
        <f t="shared" ref="N14:N19" si="0">+J14*C14/100</f>
        <v>92032.804912499996</v>
      </c>
      <c r="O14" s="33">
        <f>+N14/K14</f>
        <v>7.4999999724962199E-2</v>
      </c>
    </row>
    <row r="15" spans="2:15" s="22" customFormat="1" ht="24" customHeight="1" x14ac:dyDescent="0.2">
      <c r="B15" s="147" t="s">
        <v>19</v>
      </c>
      <c r="C15" s="148">
        <v>7.125</v>
      </c>
      <c r="D15" s="166">
        <v>39743</v>
      </c>
      <c r="E15" s="166">
        <v>46051</v>
      </c>
      <c r="F15" s="149">
        <v>45504</v>
      </c>
      <c r="G15" s="174">
        <f t="shared" ref="G15:G19" si="1">DAYS360(F15,E15)</f>
        <v>539</v>
      </c>
      <c r="H15" s="208">
        <f t="shared" ref="H15:H86" si="2">+G15/360</f>
        <v>1.4972222222222222</v>
      </c>
      <c r="I15" s="194">
        <f t="shared" ref="I15:I19" si="3">+G15*J15</f>
        <v>174533633.12</v>
      </c>
      <c r="J15" s="196">
        <v>323810.08</v>
      </c>
      <c r="K15" s="183">
        <v>294667.17</v>
      </c>
      <c r="L15" s="31"/>
      <c r="M15" s="31"/>
      <c r="N15" s="32">
        <f t="shared" si="0"/>
        <v>23071.468200000003</v>
      </c>
      <c r="O15" s="33">
        <f t="shared" ref="O15:O19" si="4">+N15/K15</f>
        <v>7.829670404069787E-2</v>
      </c>
    </row>
    <row r="16" spans="2:15" s="22" customFormat="1" ht="24" customHeight="1" x14ac:dyDescent="0.2">
      <c r="B16" s="147" t="s">
        <v>20</v>
      </c>
      <c r="C16" s="148">
        <v>7.125</v>
      </c>
      <c r="D16" s="166">
        <v>39742</v>
      </c>
      <c r="E16" s="166">
        <v>46051</v>
      </c>
      <c r="F16" s="149">
        <v>45504</v>
      </c>
      <c r="G16" s="174">
        <f t="shared" si="1"/>
        <v>539</v>
      </c>
      <c r="H16" s="208">
        <f t="shared" si="2"/>
        <v>1.4972222222222222</v>
      </c>
      <c r="I16" s="194">
        <f t="shared" si="3"/>
        <v>855858426.5</v>
      </c>
      <c r="J16" s="196">
        <v>1587863.5</v>
      </c>
      <c r="K16" s="183">
        <v>1448925.44</v>
      </c>
      <c r="L16" s="31"/>
      <c r="M16" s="31"/>
      <c r="N16" s="32">
        <f t="shared" si="0"/>
        <v>113135.27437499999</v>
      </c>
      <c r="O16" s="33">
        <f t="shared" si="4"/>
        <v>7.8082191982908375E-2</v>
      </c>
    </row>
    <row r="17" spans="2:15" s="22" customFormat="1" ht="24" customHeight="1" x14ac:dyDescent="0.2">
      <c r="B17" s="147" t="s">
        <v>21</v>
      </c>
      <c r="C17" s="148">
        <v>7.125</v>
      </c>
      <c r="D17" s="166">
        <v>39841</v>
      </c>
      <c r="E17" s="166">
        <v>46051</v>
      </c>
      <c r="F17" s="149">
        <v>45504</v>
      </c>
      <c r="G17" s="174">
        <f t="shared" si="1"/>
        <v>539</v>
      </c>
      <c r="H17" s="208">
        <f t="shared" si="2"/>
        <v>1.4972222222222222</v>
      </c>
      <c r="I17" s="194">
        <f t="shared" si="3"/>
        <v>266927951.28999999</v>
      </c>
      <c r="J17" s="196">
        <v>495228.11</v>
      </c>
      <c r="K17" s="183">
        <v>477895.12</v>
      </c>
      <c r="L17" s="31"/>
      <c r="M17" s="31"/>
      <c r="N17" s="32">
        <f t="shared" si="0"/>
        <v>35285.002837499997</v>
      </c>
      <c r="O17" s="33">
        <f t="shared" si="4"/>
        <v>7.3834197841358987E-2</v>
      </c>
    </row>
    <row r="18" spans="2:15" s="22" customFormat="1" ht="24" customHeight="1" x14ac:dyDescent="0.2">
      <c r="B18" s="147" t="s">
        <v>22</v>
      </c>
      <c r="C18" s="148">
        <v>7.125</v>
      </c>
      <c r="D18" s="166">
        <v>39841</v>
      </c>
      <c r="E18" s="166">
        <v>46051</v>
      </c>
      <c r="F18" s="149">
        <v>45504</v>
      </c>
      <c r="G18" s="174">
        <f t="shared" si="1"/>
        <v>539</v>
      </c>
      <c r="H18" s="208">
        <f t="shared" si="2"/>
        <v>1.4972222222222222</v>
      </c>
      <c r="I18" s="194">
        <f t="shared" si="3"/>
        <v>308580766.34000003</v>
      </c>
      <c r="J18" s="196">
        <v>572506.06000000006</v>
      </c>
      <c r="K18" s="183">
        <v>552468.35</v>
      </c>
      <c r="L18" s="31"/>
      <c r="M18" s="31"/>
      <c r="N18" s="32">
        <f t="shared" si="0"/>
        <v>40791.056775000005</v>
      </c>
      <c r="O18" s="33">
        <f t="shared" si="4"/>
        <v>7.3834196610538874E-2</v>
      </c>
    </row>
    <row r="19" spans="2:15" s="22" customFormat="1" ht="24" customHeight="1" x14ac:dyDescent="0.2">
      <c r="B19" s="147" t="s">
        <v>23</v>
      </c>
      <c r="C19" s="148">
        <v>7.125</v>
      </c>
      <c r="D19" s="166">
        <v>39841</v>
      </c>
      <c r="E19" s="166">
        <v>46051</v>
      </c>
      <c r="F19" s="149">
        <v>45504</v>
      </c>
      <c r="G19" s="174">
        <f t="shared" si="1"/>
        <v>539</v>
      </c>
      <c r="H19" s="208">
        <f t="shared" si="2"/>
        <v>1.4972222222222222</v>
      </c>
      <c r="I19" s="194">
        <f t="shared" si="3"/>
        <v>545220879.27999997</v>
      </c>
      <c r="J19" s="196">
        <v>1011541.52</v>
      </c>
      <c r="K19" s="183">
        <v>976137.57</v>
      </c>
      <c r="L19" s="31"/>
      <c r="M19" s="31"/>
      <c r="N19" s="32">
        <f t="shared" si="0"/>
        <v>72072.333299999998</v>
      </c>
      <c r="O19" s="33">
        <f t="shared" si="4"/>
        <v>7.3834196649146491E-2</v>
      </c>
    </row>
    <row r="20" spans="2:15" s="22" customFormat="1" ht="24" customHeight="1" x14ac:dyDescent="0.2">
      <c r="B20" s="147"/>
      <c r="C20" s="148"/>
      <c r="D20" s="166"/>
      <c r="E20" s="166"/>
      <c r="F20" s="149"/>
      <c r="G20" s="174"/>
      <c r="H20" s="208"/>
      <c r="I20" s="194"/>
      <c r="J20" s="196"/>
      <c r="K20" s="183"/>
      <c r="L20" s="31"/>
      <c r="M20" s="31"/>
      <c r="N20" s="32"/>
      <c r="O20" s="33"/>
    </row>
    <row r="21" spans="2:15" s="22" customFormat="1" ht="24" customHeight="1" x14ac:dyDescent="0.2">
      <c r="B21" s="144" t="s">
        <v>24</v>
      </c>
      <c r="C21" s="145"/>
      <c r="D21" s="165"/>
      <c r="E21" s="165"/>
      <c r="F21" s="146"/>
      <c r="G21" s="173">
        <f>+I21/J21</f>
        <v>1140</v>
      </c>
      <c r="H21" s="207">
        <f>+G21/360</f>
        <v>3.1666666666666665</v>
      </c>
      <c r="I21" s="189">
        <f>SUM(I22)</f>
        <v>1339500000</v>
      </c>
      <c r="J21" s="218">
        <f>SUM(J22)</f>
        <v>1175000</v>
      </c>
      <c r="K21" s="184">
        <f>SUM(K22)</f>
        <v>1069250</v>
      </c>
      <c r="L21" s="31"/>
      <c r="M21" s="31"/>
      <c r="N21" s="27">
        <f>SUM(N22)</f>
        <v>104281.25</v>
      </c>
    </row>
    <row r="22" spans="2:15" s="22" customFormat="1" ht="24" customHeight="1" x14ac:dyDescent="0.2">
      <c r="B22" s="150" t="s">
        <v>25</v>
      </c>
      <c r="C22" s="148">
        <v>8.875</v>
      </c>
      <c r="D22" s="166">
        <v>39751</v>
      </c>
      <c r="E22" s="166">
        <v>46660</v>
      </c>
      <c r="F22" s="149">
        <v>45504</v>
      </c>
      <c r="G22" s="174">
        <f t="shared" ref="G22" si="5">DAYS360(F22,E22)</f>
        <v>1140</v>
      </c>
      <c r="H22" s="208">
        <f t="shared" si="2"/>
        <v>3.1666666666666665</v>
      </c>
      <c r="I22" s="194">
        <f t="shared" ref="I22" si="6">+G22*J22</f>
        <v>1339500000</v>
      </c>
      <c r="J22" s="196">
        <v>1175000</v>
      </c>
      <c r="K22" s="183">
        <v>1069250</v>
      </c>
      <c r="L22" s="31"/>
      <c r="M22" s="21"/>
      <c r="N22" s="32">
        <f>+J22*C22/100</f>
        <v>104281.25</v>
      </c>
      <c r="O22" s="33">
        <f t="shared" ref="O22" si="7">+N22/K22</f>
        <v>9.7527472527472528E-2</v>
      </c>
    </row>
    <row r="23" spans="2:15" s="22" customFormat="1" ht="24" customHeight="1" x14ac:dyDescent="0.2">
      <c r="B23" s="150"/>
      <c r="C23" s="148"/>
      <c r="D23" s="166"/>
      <c r="E23" s="166"/>
      <c r="F23" s="149"/>
      <c r="G23" s="174"/>
      <c r="H23" s="208"/>
      <c r="I23" s="168"/>
      <c r="J23" s="196"/>
      <c r="K23" s="183"/>
      <c r="L23" s="31"/>
      <c r="M23" s="21"/>
      <c r="N23" s="32"/>
      <c r="O23" s="33"/>
    </row>
    <row r="24" spans="2:15" s="22" customFormat="1" ht="24" customHeight="1" x14ac:dyDescent="0.2">
      <c r="B24" s="144" t="s">
        <v>26</v>
      </c>
      <c r="C24" s="145"/>
      <c r="D24" s="165"/>
      <c r="E24" s="165"/>
      <c r="F24" s="146"/>
      <c r="G24" s="173">
        <f>+I24/J24</f>
        <v>2939</v>
      </c>
      <c r="H24" s="207">
        <f>+G24/360</f>
        <v>8.1638888888888896</v>
      </c>
      <c r="I24" s="189">
        <f>SUM(I25:I27)</f>
        <v>132277772194.92</v>
      </c>
      <c r="J24" s="218">
        <f>SUM(J25:J27)</f>
        <v>45007748.280000001</v>
      </c>
      <c r="K24" s="184">
        <f>SUM(K25:K27)</f>
        <v>44435540.350000001</v>
      </c>
      <c r="L24" s="31"/>
      <c r="M24" s="21"/>
      <c r="N24" s="27">
        <f>SUM(N25:N27)</f>
        <v>1013574.4912656</v>
      </c>
    </row>
    <row r="25" spans="2:15" s="22" customFormat="1" ht="24" customHeight="1" x14ac:dyDescent="0.2">
      <c r="B25" s="150" t="s">
        <v>27</v>
      </c>
      <c r="C25" s="148">
        <v>2.2519999999999998</v>
      </c>
      <c r="D25" s="166">
        <v>44223</v>
      </c>
      <c r="E25" s="166">
        <v>48486</v>
      </c>
      <c r="F25" s="149">
        <v>45504</v>
      </c>
      <c r="G25" s="174">
        <f t="shared" ref="G25:G27" si="8">DAYS360(F25,E25)</f>
        <v>2939</v>
      </c>
      <c r="H25" s="208">
        <f t="shared" si="2"/>
        <v>8.1638888888888896</v>
      </c>
      <c r="I25" s="194">
        <f t="shared" ref="I25:I68" si="9">+G25*J25</f>
        <v>73497772194.919998</v>
      </c>
      <c r="J25" s="196">
        <v>25007748.280000001</v>
      </c>
      <c r="K25" s="183">
        <v>25143540.350000001</v>
      </c>
      <c r="L25" s="31"/>
      <c r="M25" s="21"/>
      <c r="N25" s="32">
        <f>+J25*C25/100</f>
        <v>563174.49126559997</v>
      </c>
      <c r="O25" s="33">
        <f t="shared" ref="O25:O27" si="10">+N25/K25</f>
        <v>2.2398376816715866E-2</v>
      </c>
    </row>
    <row r="26" spans="2:15" s="22" customFormat="1" ht="24" customHeight="1" x14ac:dyDescent="0.2">
      <c r="B26" s="150" t="s">
        <v>28</v>
      </c>
      <c r="C26" s="148">
        <v>2.2519999999999998</v>
      </c>
      <c r="D26" s="166">
        <v>44321</v>
      </c>
      <c r="E26" s="166">
        <v>48486</v>
      </c>
      <c r="F26" s="149">
        <v>45504</v>
      </c>
      <c r="G26" s="174">
        <f t="shared" si="8"/>
        <v>2939</v>
      </c>
      <c r="H26" s="208">
        <f t="shared" si="2"/>
        <v>8.1638888888888896</v>
      </c>
      <c r="I26" s="194">
        <f t="shared" si="9"/>
        <v>29390000000</v>
      </c>
      <c r="J26" s="196">
        <v>10000000</v>
      </c>
      <c r="K26" s="183">
        <v>9645000</v>
      </c>
      <c r="L26" s="31"/>
      <c r="M26" s="21"/>
      <c r="N26" s="32">
        <f>+J26*C26/100</f>
        <v>225199.99999999997</v>
      </c>
      <c r="O26" s="33">
        <f t="shared" si="10"/>
        <v>2.3348885432866767E-2</v>
      </c>
    </row>
    <row r="27" spans="2:15" s="22" customFormat="1" ht="24" customHeight="1" x14ac:dyDescent="0.2">
      <c r="B27" s="150" t="s">
        <v>29</v>
      </c>
      <c r="C27" s="148">
        <v>2.2519999999999998</v>
      </c>
      <c r="D27" s="166">
        <v>44322</v>
      </c>
      <c r="E27" s="166">
        <v>48486</v>
      </c>
      <c r="F27" s="149">
        <v>45504</v>
      </c>
      <c r="G27" s="174">
        <f t="shared" si="8"/>
        <v>2939</v>
      </c>
      <c r="H27" s="208">
        <f t="shared" si="2"/>
        <v>8.1638888888888896</v>
      </c>
      <c r="I27" s="194">
        <f t="shared" si="9"/>
        <v>29390000000</v>
      </c>
      <c r="J27" s="196">
        <v>10000000</v>
      </c>
      <c r="K27" s="183">
        <v>9647000</v>
      </c>
      <c r="L27" s="31"/>
      <c r="M27" s="21"/>
      <c r="N27" s="32">
        <f>+J27*C27/100</f>
        <v>225199.99999999997</v>
      </c>
      <c r="O27" s="33">
        <f t="shared" si="10"/>
        <v>2.3344044780760857E-2</v>
      </c>
    </row>
    <row r="28" spans="2:15" s="22" customFormat="1" ht="24" customHeight="1" x14ac:dyDescent="0.2">
      <c r="B28" s="150"/>
      <c r="C28" s="148"/>
      <c r="D28" s="166"/>
      <c r="E28" s="166"/>
      <c r="F28" s="149"/>
      <c r="G28" s="174"/>
      <c r="H28" s="208"/>
      <c r="I28" s="194"/>
      <c r="J28" s="196"/>
      <c r="K28" s="183"/>
      <c r="L28" s="31"/>
      <c r="M28" s="21"/>
      <c r="N28" s="32"/>
      <c r="O28" s="33"/>
    </row>
    <row r="29" spans="2:15" s="22" customFormat="1" ht="24" customHeight="1" x14ac:dyDescent="0.2">
      <c r="B29" s="144" t="s">
        <v>30</v>
      </c>
      <c r="C29" s="145"/>
      <c r="D29" s="165"/>
      <c r="E29" s="165"/>
      <c r="F29" s="146"/>
      <c r="G29" s="173">
        <f>+I29/J29</f>
        <v>4136</v>
      </c>
      <c r="H29" s="207">
        <f>+G29/360</f>
        <v>11.488888888888889</v>
      </c>
      <c r="I29" s="189">
        <f>SUM(I30:I43)</f>
        <v>61624601832.639999</v>
      </c>
      <c r="J29" s="218">
        <f>SUM(J30:J43)</f>
        <v>14899565.239999998</v>
      </c>
      <c r="K29" s="184">
        <f>SUM(K30:K43)</f>
        <v>15201035.99</v>
      </c>
      <c r="L29" s="31"/>
      <c r="M29" s="21"/>
      <c r="N29" s="27">
        <f>SUM(N30:N43)</f>
        <v>998270.87107999995</v>
      </c>
    </row>
    <row r="30" spans="2:15" s="22" customFormat="1" ht="24" customHeight="1" x14ac:dyDescent="0.2">
      <c r="B30" s="150" t="s">
        <v>31</v>
      </c>
      <c r="C30" s="151">
        <v>6.7</v>
      </c>
      <c r="D30" s="166">
        <v>39636</v>
      </c>
      <c r="E30" s="166">
        <v>49700</v>
      </c>
      <c r="F30" s="149">
        <v>45504</v>
      </c>
      <c r="G30" s="174">
        <f t="shared" ref="G30:G43" si="11">DAYS360(F30,E30)</f>
        <v>4136</v>
      </c>
      <c r="H30" s="208">
        <f t="shared" si="2"/>
        <v>11.488888888888889</v>
      </c>
      <c r="I30" s="194">
        <f t="shared" si="9"/>
        <v>13280910823.84</v>
      </c>
      <c r="J30" s="196">
        <v>3211051.94</v>
      </c>
      <c r="K30" s="183">
        <v>3267245.35</v>
      </c>
      <c r="L30" s="34"/>
      <c r="M30" s="21"/>
      <c r="N30" s="32">
        <f t="shared" ref="N30:N43" si="12">+J30*C30/100</f>
        <v>215140.47998</v>
      </c>
      <c r="O30" s="33">
        <f t="shared" ref="O30:O43" si="13">+N30/K30</f>
        <v>6.5847665826504281E-2</v>
      </c>
    </row>
    <row r="31" spans="2:15" s="22" customFormat="1" ht="24" customHeight="1" x14ac:dyDescent="0.2">
      <c r="B31" s="150" t="s">
        <v>32</v>
      </c>
      <c r="C31" s="151">
        <v>6.7</v>
      </c>
      <c r="D31" s="166">
        <v>39636</v>
      </c>
      <c r="E31" s="166">
        <v>49700</v>
      </c>
      <c r="F31" s="149">
        <v>45504</v>
      </c>
      <c r="G31" s="174">
        <f t="shared" si="11"/>
        <v>4136</v>
      </c>
      <c r="H31" s="208">
        <f t="shared" si="2"/>
        <v>11.488888888888889</v>
      </c>
      <c r="I31" s="194">
        <f t="shared" si="9"/>
        <v>1819840000</v>
      </c>
      <c r="J31" s="196">
        <v>440000</v>
      </c>
      <c r="K31" s="183">
        <v>447700</v>
      </c>
      <c r="L31" s="34"/>
      <c r="M31" s="21"/>
      <c r="N31" s="32">
        <f t="shared" si="12"/>
        <v>29480</v>
      </c>
      <c r="O31" s="33">
        <f t="shared" si="13"/>
        <v>6.5847665847665854E-2</v>
      </c>
    </row>
    <row r="32" spans="2:15" s="22" customFormat="1" ht="24" customHeight="1" x14ac:dyDescent="0.2">
      <c r="B32" s="150" t="s">
        <v>33</v>
      </c>
      <c r="C32" s="151">
        <v>6.7</v>
      </c>
      <c r="D32" s="166">
        <v>40218</v>
      </c>
      <c r="E32" s="166">
        <v>49700</v>
      </c>
      <c r="F32" s="149">
        <v>45504</v>
      </c>
      <c r="G32" s="174">
        <f t="shared" si="11"/>
        <v>4136</v>
      </c>
      <c r="H32" s="208">
        <f t="shared" si="2"/>
        <v>11.488888888888889</v>
      </c>
      <c r="I32" s="194">
        <f t="shared" si="9"/>
        <v>183150682.88</v>
      </c>
      <c r="J32" s="196">
        <v>44282.080000000002</v>
      </c>
      <c r="K32" s="183">
        <v>45167.72</v>
      </c>
      <c r="L32" s="34"/>
      <c r="M32" s="21"/>
      <c r="N32" s="32">
        <f t="shared" si="12"/>
        <v>2966.8993600000003</v>
      </c>
      <c r="O32" s="33">
        <f t="shared" si="13"/>
        <v>6.568627683664352E-2</v>
      </c>
    </row>
    <row r="33" spans="2:15" s="22" customFormat="1" ht="24" customHeight="1" x14ac:dyDescent="0.2">
      <c r="B33" s="150" t="s">
        <v>34</v>
      </c>
      <c r="C33" s="151">
        <v>6.7</v>
      </c>
      <c r="D33" s="166">
        <v>39714</v>
      </c>
      <c r="E33" s="166">
        <v>49700</v>
      </c>
      <c r="F33" s="149">
        <v>45504</v>
      </c>
      <c r="G33" s="174">
        <f t="shared" si="11"/>
        <v>4136</v>
      </c>
      <c r="H33" s="208">
        <f t="shared" si="2"/>
        <v>11.488888888888889</v>
      </c>
      <c r="I33" s="194">
        <f t="shared" si="9"/>
        <v>4549600000</v>
      </c>
      <c r="J33" s="196">
        <v>1100000</v>
      </c>
      <c r="K33" s="183">
        <v>1091750</v>
      </c>
      <c r="L33" s="34"/>
      <c r="M33" s="21"/>
      <c r="N33" s="32">
        <f t="shared" si="12"/>
        <v>73700</v>
      </c>
      <c r="O33" s="33">
        <f t="shared" si="13"/>
        <v>6.750629722921915E-2</v>
      </c>
    </row>
    <row r="34" spans="2:15" s="22" customFormat="1" ht="24" customHeight="1" x14ac:dyDescent="0.2">
      <c r="B34" s="150" t="s">
        <v>35</v>
      </c>
      <c r="C34" s="151">
        <v>6.7</v>
      </c>
      <c r="D34" s="166">
        <v>39841</v>
      </c>
      <c r="E34" s="166">
        <v>49700</v>
      </c>
      <c r="F34" s="149">
        <v>45504</v>
      </c>
      <c r="G34" s="174">
        <f t="shared" si="11"/>
        <v>4136</v>
      </c>
      <c r="H34" s="208">
        <f t="shared" si="2"/>
        <v>11.488888888888889</v>
      </c>
      <c r="I34" s="194">
        <f t="shared" si="9"/>
        <v>3871121915.7600002</v>
      </c>
      <c r="J34" s="196">
        <v>935957.91</v>
      </c>
      <c r="K34" s="183">
        <v>856401.49</v>
      </c>
      <c r="L34" s="34"/>
      <c r="M34" s="21"/>
      <c r="N34" s="32">
        <f t="shared" si="12"/>
        <v>62709.179970000005</v>
      </c>
      <c r="O34" s="33">
        <f t="shared" si="13"/>
        <v>7.3224043514917292E-2</v>
      </c>
    </row>
    <row r="35" spans="2:15" s="22" customFormat="1" ht="24" customHeight="1" x14ac:dyDescent="0.2">
      <c r="B35" s="150" t="s">
        <v>36</v>
      </c>
      <c r="C35" s="151">
        <v>6.7</v>
      </c>
      <c r="D35" s="166">
        <v>39911</v>
      </c>
      <c r="E35" s="166">
        <v>49700</v>
      </c>
      <c r="F35" s="149">
        <v>45504</v>
      </c>
      <c r="G35" s="174">
        <f t="shared" si="11"/>
        <v>4136</v>
      </c>
      <c r="H35" s="208">
        <f t="shared" si="2"/>
        <v>11.488888888888889</v>
      </c>
      <c r="I35" s="194">
        <f t="shared" si="9"/>
        <v>4575130576.7200003</v>
      </c>
      <c r="J35" s="196">
        <v>1106172.77</v>
      </c>
      <c r="K35" s="183">
        <v>987259.2</v>
      </c>
      <c r="L35" s="34"/>
      <c r="M35" s="21"/>
      <c r="N35" s="32">
        <f t="shared" si="12"/>
        <v>74113.575590000008</v>
      </c>
      <c r="O35" s="33">
        <f t="shared" si="13"/>
        <v>7.5070027800196754E-2</v>
      </c>
    </row>
    <row r="36" spans="2:15" s="22" customFormat="1" ht="24" customHeight="1" x14ac:dyDescent="0.2">
      <c r="B36" s="150" t="s">
        <v>37</v>
      </c>
      <c r="C36" s="151">
        <v>6.7</v>
      </c>
      <c r="D36" s="166">
        <v>39976</v>
      </c>
      <c r="E36" s="166">
        <v>49700</v>
      </c>
      <c r="F36" s="149">
        <v>45504</v>
      </c>
      <c r="G36" s="174">
        <f t="shared" si="11"/>
        <v>4136</v>
      </c>
      <c r="H36" s="208">
        <f t="shared" si="2"/>
        <v>11.488888888888889</v>
      </c>
      <c r="I36" s="194">
        <f t="shared" si="9"/>
        <v>1872369433.4399998</v>
      </c>
      <c r="J36" s="196">
        <v>452700.54</v>
      </c>
      <c r="K36" s="183">
        <v>450437.03</v>
      </c>
      <c r="L36" s="34"/>
      <c r="M36" s="21"/>
      <c r="N36" s="32">
        <f t="shared" si="12"/>
        <v>30330.936179999997</v>
      </c>
      <c r="O36" s="33">
        <f t="shared" si="13"/>
        <v>6.7336684508376224E-2</v>
      </c>
    </row>
    <row r="37" spans="2:15" s="22" customFormat="1" ht="24" customHeight="1" x14ac:dyDescent="0.2">
      <c r="B37" s="150" t="s">
        <v>38</v>
      </c>
      <c r="C37" s="151">
        <v>6.7</v>
      </c>
      <c r="D37" s="166">
        <v>40218</v>
      </c>
      <c r="E37" s="166">
        <v>49700</v>
      </c>
      <c r="F37" s="149">
        <v>45504</v>
      </c>
      <c r="G37" s="174">
        <f t="shared" si="11"/>
        <v>4136</v>
      </c>
      <c r="H37" s="208">
        <f t="shared" si="2"/>
        <v>11.488888888888889</v>
      </c>
      <c r="I37" s="194">
        <f t="shared" si="9"/>
        <v>4136000000</v>
      </c>
      <c r="J37" s="196">
        <v>1000000</v>
      </c>
      <c r="K37" s="183">
        <v>1020000</v>
      </c>
      <c r="L37" s="34"/>
      <c r="M37" s="21"/>
      <c r="N37" s="32">
        <f t="shared" si="12"/>
        <v>67000</v>
      </c>
      <c r="O37" s="33">
        <f t="shared" si="13"/>
        <v>6.5686274509803924E-2</v>
      </c>
    </row>
    <row r="38" spans="2:15" s="22" customFormat="1" ht="24" customHeight="1" x14ac:dyDescent="0.2">
      <c r="B38" s="150" t="s">
        <v>39</v>
      </c>
      <c r="C38" s="151">
        <v>6.7</v>
      </c>
      <c r="D38" s="166">
        <v>40056</v>
      </c>
      <c r="E38" s="166">
        <v>49700</v>
      </c>
      <c r="F38" s="149">
        <v>45504</v>
      </c>
      <c r="G38" s="174">
        <f t="shared" si="11"/>
        <v>4136</v>
      </c>
      <c r="H38" s="208">
        <f t="shared" si="2"/>
        <v>11.488888888888889</v>
      </c>
      <c r="I38" s="194">
        <f t="shared" si="9"/>
        <v>5331304000</v>
      </c>
      <c r="J38" s="196">
        <v>1289000</v>
      </c>
      <c r="K38" s="183">
        <v>1324447.5</v>
      </c>
      <c r="L38" s="34"/>
      <c r="M38" s="21"/>
      <c r="N38" s="32">
        <f t="shared" si="12"/>
        <v>86363</v>
      </c>
      <c r="O38" s="33">
        <f t="shared" si="13"/>
        <v>6.5206812652068125E-2</v>
      </c>
    </row>
    <row r="39" spans="2:15" s="22" customFormat="1" ht="24" customHeight="1" x14ac:dyDescent="0.2">
      <c r="B39" s="150" t="s">
        <v>40</v>
      </c>
      <c r="C39" s="151">
        <v>6.7</v>
      </c>
      <c r="D39" s="166">
        <v>40218</v>
      </c>
      <c r="E39" s="166">
        <v>49700</v>
      </c>
      <c r="F39" s="149">
        <v>45504</v>
      </c>
      <c r="G39" s="174">
        <f t="shared" si="11"/>
        <v>4136</v>
      </c>
      <c r="H39" s="208">
        <f t="shared" si="2"/>
        <v>11.488888888888889</v>
      </c>
      <c r="I39" s="194">
        <f t="shared" si="9"/>
        <v>3175620800</v>
      </c>
      <c r="J39" s="196">
        <v>767800</v>
      </c>
      <c r="K39" s="183">
        <v>783156</v>
      </c>
      <c r="L39" s="34"/>
      <c r="M39" s="21"/>
      <c r="N39" s="32">
        <f t="shared" si="12"/>
        <v>51442.6</v>
      </c>
      <c r="O39" s="33">
        <f t="shared" si="13"/>
        <v>6.5686274509803924E-2</v>
      </c>
    </row>
    <row r="40" spans="2:15" s="22" customFormat="1" ht="24" customHeight="1" x14ac:dyDescent="0.2">
      <c r="B40" s="150" t="s">
        <v>41</v>
      </c>
      <c r="C40" s="151">
        <v>6.7</v>
      </c>
      <c r="D40" s="166">
        <v>40218</v>
      </c>
      <c r="E40" s="166">
        <v>49700</v>
      </c>
      <c r="F40" s="149">
        <v>45504</v>
      </c>
      <c r="G40" s="174">
        <f t="shared" si="11"/>
        <v>4136</v>
      </c>
      <c r="H40" s="208">
        <f t="shared" si="2"/>
        <v>11.488888888888889</v>
      </c>
      <c r="I40" s="194">
        <f t="shared" si="9"/>
        <v>5391689600</v>
      </c>
      <c r="J40" s="196">
        <v>1303600</v>
      </c>
      <c r="K40" s="183">
        <v>1332279.2</v>
      </c>
      <c r="L40" s="34"/>
      <c r="M40" s="21"/>
      <c r="N40" s="32">
        <f t="shared" si="12"/>
        <v>87341.2</v>
      </c>
      <c r="O40" s="33">
        <f t="shared" si="13"/>
        <v>6.5557729941291581E-2</v>
      </c>
    </row>
    <row r="41" spans="2:15" s="22" customFormat="1" ht="24" customHeight="1" x14ac:dyDescent="0.2">
      <c r="B41" s="150" t="s">
        <v>42</v>
      </c>
      <c r="C41" s="151">
        <v>6.7</v>
      </c>
      <c r="D41" s="166">
        <v>40234</v>
      </c>
      <c r="E41" s="166">
        <v>49700</v>
      </c>
      <c r="F41" s="149">
        <v>45504</v>
      </c>
      <c r="G41" s="174">
        <f t="shared" si="11"/>
        <v>4136</v>
      </c>
      <c r="H41" s="208">
        <f t="shared" si="2"/>
        <v>11.488888888888889</v>
      </c>
      <c r="I41" s="194">
        <f t="shared" si="9"/>
        <v>4136000000</v>
      </c>
      <c r="J41" s="196">
        <v>1000000</v>
      </c>
      <c r="K41" s="183">
        <v>1050000</v>
      </c>
      <c r="L41" s="34"/>
      <c r="M41" s="29"/>
      <c r="N41" s="32">
        <f t="shared" si="12"/>
        <v>67000</v>
      </c>
      <c r="O41" s="33">
        <f t="shared" si="13"/>
        <v>6.3809523809523816E-2</v>
      </c>
    </row>
    <row r="42" spans="2:15" s="22" customFormat="1" ht="24" customHeight="1" x14ac:dyDescent="0.2">
      <c r="B42" s="150" t="s">
        <v>43</v>
      </c>
      <c r="C42" s="151">
        <v>6.7</v>
      </c>
      <c r="D42" s="166">
        <v>40238</v>
      </c>
      <c r="E42" s="166">
        <v>49700</v>
      </c>
      <c r="F42" s="149">
        <v>45504</v>
      </c>
      <c r="G42" s="174">
        <f t="shared" si="11"/>
        <v>4136</v>
      </c>
      <c r="H42" s="208">
        <f t="shared" si="2"/>
        <v>11.488888888888889</v>
      </c>
      <c r="I42" s="194">
        <f t="shared" si="9"/>
        <v>3097864000</v>
      </c>
      <c r="J42" s="196">
        <v>749000</v>
      </c>
      <c r="K42" s="183">
        <v>792067.5</v>
      </c>
      <c r="L42" s="34"/>
      <c r="M42" s="29"/>
      <c r="N42" s="32">
        <f t="shared" si="12"/>
        <v>50183</v>
      </c>
      <c r="O42" s="33">
        <f t="shared" si="13"/>
        <v>6.3356973995271862E-2</v>
      </c>
    </row>
    <row r="43" spans="2:15" s="22" customFormat="1" ht="24" customHeight="1" x14ac:dyDescent="0.2">
      <c r="B43" s="150" t="s">
        <v>44</v>
      </c>
      <c r="C43" s="151">
        <v>6.7</v>
      </c>
      <c r="D43" s="166">
        <v>41457</v>
      </c>
      <c r="E43" s="166">
        <v>49700</v>
      </c>
      <c r="F43" s="149">
        <v>45504</v>
      </c>
      <c r="G43" s="174">
        <f t="shared" si="11"/>
        <v>4136</v>
      </c>
      <c r="H43" s="208">
        <f t="shared" si="2"/>
        <v>11.488888888888889</v>
      </c>
      <c r="I43" s="194">
        <f t="shared" si="9"/>
        <v>6204000000</v>
      </c>
      <c r="J43" s="196">
        <v>1500000</v>
      </c>
      <c r="K43" s="183">
        <v>1753125</v>
      </c>
      <c r="L43" s="34"/>
      <c r="M43" s="29"/>
      <c r="N43" s="32">
        <f t="shared" si="12"/>
        <v>100500</v>
      </c>
      <c r="O43" s="33">
        <f t="shared" si="13"/>
        <v>5.7326203208556151E-2</v>
      </c>
    </row>
    <row r="44" spans="2:15" s="22" customFormat="1" ht="24" customHeight="1" x14ac:dyDescent="0.2">
      <c r="B44" s="150"/>
      <c r="C44" s="151"/>
      <c r="D44" s="166"/>
      <c r="E44" s="166"/>
      <c r="F44" s="149"/>
      <c r="G44" s="174"/>
      <c r="H44" s="208"/>
      <c r="I44" s="194"/>
      <c r="J44" s="196"/>
      <c r="K44" s="183"/>
      <c r="L44" s="34"/>
      <c r="M44" s="29"/>
      <c r="N44" s="32"/>
      <c r="O44" s="33"/>
    </row>
    <row r="45" spans="2:15" s="22" customFormat="1" ht="28.5" customHeight="1" x14ac:dyDescent="0.2">
      <c r="B45" s="144" t="s">
        <v>45</v>
      </c>
      <c r="C45" s="145"/>
      <c r="D45" s="165"/>
      <c r="E45" s="165"/>
      <c r="F45" s="146"/>
      <c r="G45" s="173">
        <f>+I45/J45</f>
        <v>4921</v>
      </c>
      <c r="H45" s="207">
        <f>+G45/360</f>
        <v>13.669444444444444</v>
      </c>
      <c r="I45" s="189">
        <f>SUM(I46:I50)</f>
        <v>123025000000</v>
      </c>
      <c r="J45" s="218">
        <f>SUM(J46:J50)</f>
        <v>25000000</v>
      </c>
      <c r="K45" s="184">
        <f>SUM(K46:K50)</f>
        <v>26049000</v>
      </c>
      <c r="L45" s="34"/>
      <c r="M45" s="29"/>
      <c r="N45" s="27">
        <f>SUM(N46:N50)</f>
        <v>2000000</v>
      </c>
    </row>
    <row r="46" spans="2:15" s="22" customFormat="1" ht="25.5" customHeight="1" x14ac:dyDescent="0.2">
      <c r="B46" s="150" t="s">
        <v>46</v>
      </c>
      <c r="C46" s="151">
        <v>8</v>
      </c>
      <c r="D46" s="166">
        <v>45386</v>
      </c>
      <c r="E46" s="166">
        <v>50496</v>
      </c>
      <c r="F46" s="149">
        <v>45504</v>
      </c>
      <c r="G46" s="174">
        <f t="shared" ref="G46:G50" si="14">DAYS360(F46,E46)</f>
        <v>4921</v>
      </c>
      <c r="H46" s="208">
        <f t="shared" si="2"/>
        <v>13.669444444444444</v>
      </c>
      <c r="I46" s="194">
        <f t="shared" si="9"/>
        <v>24605000000</v>
      </c>
      <c r="J46" s="196">
        <v>5000000</v>
      </c>
      <c r="K46" s="183">
        <v>5233000</v>
      </c>
      <c r="L46" s="34"/>
      <c r="M46" s="29"/>
      <c r="N46" s="32">
        <f>+J46*C46/100</f>
        <v>400000</v>
      </c>
      <c r="O46" s="33">
        <f t="shared" ref="O46:O50" si="15">+N46/K46</f>
        <v>7.6437989680871399E-2</v>
      </c>
    </row>
    <row r="47" spans="2:15" s="22" customFormat="1" ht="25.5" customHeight="1" x14ac:dyDescent="0.2">
      <c r="B47" s="150" t="s">
        <v>47</v>
      </c>
      <c r="C47" s="151">
        <v>8</v>
      </c>
      <c r="D47" s="166">
        <v>45386</v>
      </c>
      <c r="E47" s="166">
        <v>50496</v>
      </c>
      <c r="F47" s="149">
        <v>45504</v>
      </c>
      <c r="G47" s="174">
        <f t="shared" si="14"/>
        <v>4921</v>
      </c>
      <c r="H47" s="208">
        <f t="shared" si="2"/>
        <v>13.669444444444444</v>
      </c>
      <c r="I47" s="194">
        <f t="shared" si="9"/>
        <v>24605000000</v>
      </c>
      <c r="J47" s="196">
        <v>5000000</v>
      </c>
      <c r="K47" s="183">
        <v>5222500</v>
      </c>
      <c r="L47" s="34"/>
      <c r="M47" s="29"/>
      <c r="N47" s="32">
        <f>+J47*C47/100</f>
        <v>400000</v>
      </c>
      <c r="O47" s="33">
        <f t="shared" si="15"/>
        <v>7.659167065581618E-2</v>
      </c>
    </row>
    <row r="48" spans="2:15" s="22" customFormat="1" ht="25.5" customHeight="1" x14ac:dyDescent="0.2">
      <c r="B48" s="150" t="s">
        <v>48</v>
      </c>
      <c r="C48" s="151">
        <v>8</v>
      </c>
      <c r="D48" s="166">
        <v>45387</v>
      </c>
      <c r="E48" s="166">
        <v>50496</v>
      </c>
      <c r="F48" s="149">
        <v>45504</v>
      </c>
      <c r="G48" s="174">
        <f t="shared" si="14"/>
        <v>4921</v>
      </c>
      <c r="H48" s="208">
        <f t="shared" si="2"/>
        <v>13.669444444444444</v>
      </c>
      <c r="I48" s="194">
        <f t="shared" si="9"/>
        <v>24605000000</v>
      </c>
      <c r="J48" s="196">
        <v>5000000</v>
      </c>
      <c r="K48" s="183">
        <v>5199500</v>
      </c>
      <c r="L48" s="34"/>
      <c r="M48" s="29"/>
      <c r="N48" s="32">
        <f>+J48*C48/100</f>
        <v>400000</v>
      </c>
      <c r="O48" s="33">
        <f t="shared" si="15"/>
        <v>7.6930474084046546E-2</v>
      </c>
    </row>
    <row r="49" spans="2:15" s="22" customFormat="1" ht="25.5" customHeight="1" x14ac:dyDescent="0.2">
      <c r="B49" s="150" t="s">
        <v>49</v>
      </c>
      <c r="C49" s="151">
        <v>8</v>
      </c>
      <c r="D49" s="166">
        <v>45387</v>
      </c>
      <c r="E49" s="166">
        <v>50496</v>
      </c>
      <c r="F49" s="149">
        <v>45504</v>
      </c>
      <c r="G49" s="174">
        <f t="shared" si="14"/>
        <v>4921</v>
      </c>
      <c r="H49" s="208">
        <f t="shared" si="2"/>
        <v>13.669444444444444</v>
      </c>
      <c r="I49" s="194">
        <f t="shared" si="9"/>
        <v>24605000000</v>
      </c>
      <c r="J49" s="196">
        <v>5000000</v>
      </c>
      <c r="K49" s="183">
        <v>5196500</v>
      </c>
      <c r="L49" s="34"/>
      <c r="M49" s="29"/>
      <c r="N49" s="32">
        <f>+J49*C49/100</f>
        <v>400000</v>
      </c>
      <c r="O49" s="33">
        <f t="shared" si="15"/>
        <v>7.6974886943134799E-2</v>
      </c>
    </row>
    <row r="50" spans="2:15" s="22" customFormat="1" ht="25.5" customHeight="1" x14ac:dyDescent="0.2">
      <c r="B50" s="150" t="s">
        <v>50</v>
      </c>
      <c r="C50" s="151">
        <v>8</v>
      </c>
      <c r="D50" s="166">
        <v>45387</v>
      </c>
      <c r="E50" s="166">
        <v>50496</v>
      </c>
      <c r="F50" s="149">
        <v>45504</v>
      </c>
      <c r="G50" s="174">
        <f t="shared" si="14"/>
        <v>4921</v>
      </c>
      <c r="H50" s="208">
        <f t="shared" si="2"/>
        <v>13.669444444444444</v>
      </c>
      <c r="I50" s="194">
        <f t="shared" si="9"/>
        <v>24605000000</v>
      </c>
      <c r="J50" s="196">
        <v>5000000</v>
      </c>
      <c r="K50" s="183">
        <v>5197500</v>
      </c>
      <c r="L50" s="34"/>
      <c r="M50" s="29"/>
      <c r="N50" s="32">
        <f>+J50*C50/100</f>
        <v>400000</v>
      </c>
      <c r="O50" s="33">
        <f t="shared" si="15"/>
        <v>7.6960076960076965E-2</v>
      </c>
    </row>
    <row r="51" spans="2:15" s="22" customFormat="1" ht="25.5" customHeight="1" x14ac:dyDescent="0.2">
      <c r="B51" s="150"/>
      <c r="C51" s="151"/>
      <c r="D51" s="166"/>
      <c r="E51" s="166"/>
      <c r="F51" s="149"/>
      <c r="G51" s="174"/>
      <c r="H51" s="208"/>
      <c r="I51" s="194"/>
      <c r="J51" s="196"/>
      <c r="K51" s="183"/>
      <c r="L51" s="34"/>
      <c r="M51" s="29"/>
      <c r="N51" s="32"/>
      <c r="O51" s="33"/>
    </row>
    <row r="52" spans="2:15" s="22" customFormat="1" ht="23.25" customHeight="1" x14ac:dyDescent="0.2">
      <c r="B52" s="144" t="s">
        <v>51</v>
      </c>
      <c r="C52" s="145"/>
      <c r="D52" s="165"/>
      <c r="E52" s="165"/>
      <c r="F52" s="146"/>
      <c r="G52" s="173">
        <f>+I52/J52</f>
        <v>8205</v>
      </c>
      <c r="H52" s="207">
        <f>+G52/360</f>
        <v>22.791666666666668</v>
      </c>
      <c r="I52" s="189">
        <f>SUM(I53:I57)</f>
        <v>116278721619.14999</v>
      </c>
      <c r="J52" s="218">
        <f>SUM(J53:J57)</f>
        <v>14171690.629999999</v>
      </c>
      <c r="K52" s="184">
        <f>SUM(K53:K57)</f>
        <v>14120299.49</v>
      </c>
      <c r="L52" s="34"/>
      <c r="M52" s="29"/>
      <c r="N52" s="27">
        <f>SUM(N53:N57)</f>
        <v>637726.07834999997</v>
      </c>
    </row>
    <row r="53" spans="2:15" s="22" customFormat="1" ht="24.75" customHeight="1" x14ac:dyDescent="0.2">
      <c r="B53" s="150" t="s">
        <v>52</v>
      </c>
      <c r="C53" s="151">
        <v>4.5</v>
      </c>
      <c r="D53" s="166">
        <v>42870</v>
      </c>
      <c r="E53" s="166">
        <v>53827</v>
      </c>
      <c r="F53" s="149">
        <v>45504</v>
      </c>
      <c r="G53" s="174">
        <f t="shared" ref="G53:G57" si="16">DAYS360(F53,E53)</f>
        <v>8205</v>
      </c>
      <c r="H53" s="208">
        <f t="shared" si="2"/>
        <v>22.791666666666668</v>
      </c>
      <c r="I53" s="194">
        <f t="shared" si="9"/>
        <v>14493856483.800001</v>
      </c>
      <c r="J53" s="196">
        <v>1766466.36</v>
      </c>
      <c r="K53" s="183">
        <v>1762209.18</v>
      </c>
      <c r="L53" s="34"/>
      <c r="M53" s="21"/>
      <c r="N53" s="32">
        <f>+J53*C53/100</f>
        <v>79490.986199999999</v>
      </c>
      <c r="O53" s="33">
        <f t="shared" ref="O53:O57" si="17">+N53/K53</f>
        <v>4.5108711895372147E-2</v>
      </c>
    </row>
    <row r="54" spans="2:15" s="22" customFormat="1" ht="24.75" customHeight="1" x14ac:dyDescent="0.2">
      <c r="B54" s="150" t="s">
        <v>53</v>
      </c>
      <c r="C54" s="151">
        <v>4.5</v>
      </c>
      <c r="D54" s="166">
        <v>43368</v>
      </c>
      <c r="E54" s="166">
        <v>53827</v>
      </c>
      <c r="F54" s="149">
        <v>45504</v>
      </c>
      <c r="G54" s="174">
        <f t="shared" si="16"/>
        <v>8205</v>
      </c>
      <c r="H54" s="208">
        <f t="shared" si="2"/>
        <v>22.791666666666668</v>
      </c>
      <c r="I54" s="194">
        <f t="shared" si="9"/>
        <v>20512500000</v>
      </c>
      <c r="J54" s="196">
        <v>2500000</v>
      </c>
      <c r="K54" s="183">
        <v>2493000</v>
      </c>
      <c r="L54" s="34"/>
      <c r="M54" s="21"/>
      <c r="N54" s="32">
        <f>+J54*C54/100</f>
        <v>112500</v>
      </c>
      <c r="O54" s="33">
        <f t="shared" si="17"/>
        <v>4.5126353790613721E-2</v>
      </c>
    </row>
    <row r="55" spans="2:15" s="22" customFormat="1" ht="24.75" customHeight="1" x14ac:dyDescent="0.2">
      <c r="B55" s="150" t="s">
        <v>54</v>
      </c>
      <c r="C55" s="151">
        <v>4.5</v>
      </c>
      <c r="D55" s="166">
        <v>43369</v>
      </c>
      <c r="E55" s="166">
        <v>53827</v>
      </c>
      <c r="F55" s="149">
        <v>45504</v>
      </c>
      <c r="G55" s="174">
        <f t="shared" si="16"/>
        <v>8205</v>
      </c>
      <c r="H55" s="208">
        <f t="shared" si="2"/>
        <v>22.791666666666668</v>
      </c>
      <c r="I55" s="194">
        <f t="shared" si="9"/>
        <v>20512500000</v>
      </c>
      <c r="J55" s="196">
        <v>2500000</v>
      </c>
      <c r="K55" s="183">
        <v>2493000</v>
      </c>
      <c r="L55" s="34"/>
      <c r="M55" s="21"/>
      <c r="N55" s="32">
        <f>+J55*C55/100</f>
        <v>112500</v>
      </c>
      <c r="O55" s="33">
        <f t="shared" si="17"/>
        <v>4.5126353790613721E-2</v>
      </c>
    </row>
    <row r="56" spans="2:15" s="22" customFormat="1" ht="24.75" customHeight="1" x14ac:dyDescent="0.2">
      <c r="B56" s="150" t="s">
        <v>55</v>
      </c>
      <c r="C56" s="151">
        <v>4.5</v>
      </c>
      <c r="D56" s="166">
        <v>43369</v>
      </c>
      <c r="E56" s="166">
        <v>53827</v>
      </c>
      <c r="F56" s="149">
        <v>45504</v>
      </c>
      <c r="G56" s="174">
        <f t="shared" si="16"/>
        <v>8205</v>
      </c>
      <c r="H56" s="208">
        <f t="shared" si="2"/>
        <v>22.791666666666668</v>
      </c>
      <c r="I56" s="194">
        <f t="shared" si="9"/>
        <v>41025000000</v>
      </c>
      <c r="J56" s="196">
        <v>5000000</v>
      </c>
      <c r="K56" s="183">
        <v>4982500</v>
      </c>
      <c r="L56" s="34"/>
      <c r="M56" s="21"/>
      <c r="N56" s="32">
        <f>+J56*C56/100</f>
        <v>225000</v>
      </c>
      <c r="O56" s="33">
        <f t="shared" si="17"/>
        <v>4.5158053186151528E-2</v>
      </c>
    </row>
    <row r="57" spans="2:15" s="22" customFormat="1" ht="24.75" customHeight="1" x14ac:dyDescent="0.2">
      <c r="B57" s="150" t="s">
        <v>56</v>
      </c>
      <c r="C57" s="151">
        <v>4.5</v>
      </c>
      <c r="D57" s="166">
        <v>43370</v>
      </c>
      <c r="E57" s="166">
        <v>53827</v>
      </c>
      <c r="F57" s="149">
        <v>45504</v>
      </c>
      <c r="G57" s="174">
        <f t="shared" si="16"/>
        <v>8205</v>
      </c>
      <c r="H57" s="208">
        <f t="shared" si="2"/>
        <v>22.791666666666668</v>
      </c>
      <c r="I57" s="194">
        <f t="shared" si="9"/>
        <v>19734865135.349998</v>
      </c>
      <c r="J57" s="196">
        <v>2405224.27</v>
      </c>
      <c r="K57" s="183">
        <v>2389590.31</v>
      </c>
      <c r="L57" s="34"/>
      <c r="M57" s="21"/>
      <c r="N57" s="32">
        <f>+J57*C57/100</f>
        <v>108235.09215</v>
      </c>
      <c r="O57" s="33">
        <f t="shared" si="17"/>
        <v>4.5294413731532077E-2</v>
      </c>
    </row>
    <row r="58" spans="2:15" s="22" customFormat="1" ht="24.75" customHeight="1" x14ac:dyDescent="0.2">
      <c r="B58" s="150"/>
      <c r="C58" s="151"/>
      <c r="D58" s="166"/>
      <c r="E58" s="166"/>
      <c r="F58" s="149"/>
      <c r="G58" s="174"/>
      <c r="H58" s="208"/>
      <c r="I58" s="194"/>
      <c r="J58" s="196"/>
      <c r="K58" s="183"/>
      <c r="L58" s="34"/>
      <c r="M58" s="21"/>
      <c r="N58" s="32"/>
      <c r="O58" s="33"/>
    </row>
    <row r="59" spans="2:15" s="22" customFormat="1" ht="21" customHeight="1" x14ac:dyDescent="0.2">
      <c r="B59" s="144" t="s">
        <v>7</v>
      </c>
      <c r="C59" s="145"/>
      <c r="D59" s="167"/>
      <c r="E59" s="167"/>
      <c r="F59" s="152"/>
      <c r="G59" s="173">
        <f>+I59/J59</f>
        <v>9256</v>
      </c>
      <c r="H59" s="207">
        <f>+G59/360</f>
        <v>25.711111111111112</v>
      </c>
      <c r="I59" s="189">
        <f>SUM(I60:I63)</f>
        <v>372572462572.96002</v>
      </c>
      <c r="J59" s="218">
        <f>SUM(J60:J63)</f>
        <v>40251994.660000004</v>
      </c>
      <c r="K59" s="184">
        <f>SUM(K60:K63)</f>
        <v>37071907.139999993</v>
      </c>
      <c r="L59" s="31"/>
      <c r="M59" s="21"/>
      <c r="N59" s="27">
        <f>SUM(N60:N63)</f>
        <v>1811339.7597000001</v>
      </c>
    </row>
    <row r="60" spans="2:15" s="22" customFormat="1" ht="25.5" customHeight="1" x14ac:dyDescent="0.2">
      <c r="B60" s="153" t="s">
        <v>57</v>
      </c>
      <c r="C60" s="151">
        <v>4.5</v>
      </c>
      <c r="D60" s="166">
        <v>43206</v>
      </c>
      <c r="E60" s="166">
        <v>54894</v>
      </c>
      <c r="F60" s="149">
        <v>45504</v>
      </c>
      <c r="G60" s="174">
        <f t="shared" ref="G60:G63" si="18">DAYS360(F60,E60)</f>
        <v>9256</v>
      </c>
      <c r="H60" s="208">
        <f t="shared" si="2"/>
        <v>25.711111111111112</v>
      </c>
      <c r="I60" s="194">
        <f t="shared" si="9"/>
        <v>226789615001.04001</v>
      </c>
      <c r="J60" s="196">
        <v>24501903.09</v>
      </c>
      <c r="K60" s="186">
        <v>24396299.879999999</v>
      </c>
      <c r="L60" s="31"/>
      <c r="M60" s="21"/>
      <c r="N60" s="32">
        <f>+J60*C60/100</f>
        <v>1102585.6390500001</v>
      </c>
      <c r="O60" s="33">
        <f t="shared" ref="O60:O63" si="19">+N60/K60</f>
        <v>4.519478955716133E-2</v>
      </c>
    </row>
    <row r="61" spans="2:15" s="22" customFormat="1" ht="25.5" customHeight="1" x14ac:dyDescent="0.2">
      <c r="B61" s="153" t="s">
        <v>58</v>
      </c>
      <c r="C61" s="151">
        <v>4.5</v>
      </c>
      <c r="D61" s="166">
        <v>43398</v>
      </c>
      <c r="E61" s="166">
        <v>54894</v>
      </c>
      <c r="F61" s="149">
        <v>45504</v>
      </c>
      <c r="G61" s="174">
        <f t="shared" si="18"/>
        <v>9256</v>
      </c>
      <c r="H61" s="208">
        <f t="shared" si="2"/>
        <v>25.711111111111112</v>
      </c>
      <c r="I61" s="194">
        <f t="shared" si="9"/>
        <v>74048000000</v>
      </c>
      <c r="J61" s="196">
        <v>8000000</v>
      </c>
      <c r="K61" s="186">
        <v>7478320</v>
      </c>
      <c r="L61" s="31"/>
      <c r="M61" s="21"/>
      <c r="N61" s="32">
        <f>+J61*C61/100</f>
        <v>360000</v>
      </c>
      <c r="O61" s="33">
        <f t="shared" si="19"/>
        <v>4.8139154248547804E-2</v>
      </c>
    </row>
    <row r="62" spans="2:15" s="22" customFormat="1" ht="25.5" customHeight="1" x14ac:dyDescent="0.2">
      <c r="B62" s="153" t="s">
        <v>59</v>
      </c>
      <c r="C62" s="151">
        <v>4.5</v>
      </c>
      <c r="D62" s="166">
        <v>45257</v>
      </c>
      <c r="E62" s="166">
        <v>54894</v>
      </c>
      <c r="F62" s="149">
        <v>45504</v>
      </c>
      <c r="G62" s="174">
        <f t="shared" si="18"/>
        <v>9256</v>
      </c>
      <c r="H62" s="208">
        <f t="shared" si="2"/>
        <v>25.711111111111112</v>
      </c>
      <c r="I62" s="194">
        <f t="shared" si="9"/>
        <v>46280000000</v>
      </c>
      <c r="J62" s="196">
        <v>5000000</v>
      </c>
      <c r="K62" s="186">
        <v>3327500</v>
      </c>
      <c r="L62" s="31"/>
      <c r="M62" s="21"/>
      <c r="N62" s="32">
        <f>+J62*C62/100</f>
        <v>225000</v>
      </c>
      <c r="O62" s="33">
        <f t="shared" si="19"/>
        <v>6.7618332081141999E-2</v>
      </c>
    </row>
    <row r="63" spans="2:15" s="22" customFormat="1" ht="25.5" customHeight="1" x14ac:dyDescent="0.2">
      <c r="B63" s="153" t="s">
        <v>60</v>
      </c>
      <c r="C63" s="151">
        <v>4.5</v>
      </c>
      <c r="D63" s="166">
        <v>45261</v>
      </c>
      <c r="E63" s="166">
        <v>54894</v>
      </c>
      <c r="F63" s="149">
        <v>45504</v>
      </c>
      <c r="G63" s="174">
        <f t="shared" si="18"/>
        <v>9256</v>
      </c>
      <c r="H63" s="208">
        <f t="shared" si="2"/>
        <v>25.711111111111112</v>
      </c>
      <c r="I63" s="194">
        <f t="shared" si="9"/>
        <v>25454847571.919998</v>
      </c>
      <c r="J63" s="196">
        <v>2750091.57</v>
      </c>
      <c r="K63" s="186">
        <v>1869787.26</v>
      </c>
      <c r="L63" s="31"/>
      <c r="M63" s="21"/>
      <c r="N63" s="32">
        <f>+J63*C63/100</f>
        <v>123754.12065</v>
      </c>
      <c r="O63" s="33">
        <f t="shared" si="19"/>
        <v>6.6186203798393614E-2</v>
      </c>
    </row>
    <row r="64" spans="2:15" s="22" customFormat="1" ht="25.5" customHeight="1" x14ac:dyDescent="0.2">
      <c r="B64" s="153"/>
      <c r="C64" s="151"/>
      <c r="D64" s="166"/>
      <c r="E64" s="166"/>
      <c r="F64" s="149"/>
      <c r="G64" s="174"/>
      <c r="H64" s="208"/>
      <c r="I64" s="194"/>
      <c r="J64" s="196"/>
      <c r="K64" s="186"/>
      <c r="L64" s="31"/>
      <c r="M64" s="21"/>
      <c r="N64" s="32"/>
      <c r="O64" s="33"/>
    </row>
    <row r="65" spans="2:15" s="22" customFormat="1" ht="22.5" customHeight="1" x14ac:dyDescent="0.2">
      <c r="B65" s="144" t="s">
        <v>61</v>
      </c>
      <c r="C65" s="145"/>
      <c r="D65" s="165"/>
      <c r="E65" s="165"/>
      <c r="F65" s="146"/>
      <c r="G65" s="173">
        <f>+I65/J65</f>
        <v>10349</v>
      </c>
      <c r="H65" s="207">
        <f>+G65/360</f>
        <v>28.747222222222224</v>
      </c>
      <c r="I65" s="189">
        <f>SUM(I66:I68)</f>
        <v>783748840516.25989</v>
      </c>
      <c r="J65" s="218">
        <f>SUM(J66:J68)</f>
        <v>75731842.739999995</v>
      </c>
      <c r="K65" s="184">
        <f>SUM(K66:K68)</f>
        <v>84567948.400000006</v>
      </c>
      <c r="L65" s="34"/>
      <c r="M65" s="21"/>
      <c r="N65" s="27">
        <f>SUM(N66:N68)</f>
        <v>3256469.2378199995</v>
      </c>
    </row>
    <row r="66" spans="2:15" s="22" customFormat="1" ht="25.5" customHeight="1" x14ac:dyDescent="0.2">
      <c r="B66" s="150" t="s">
        <v>62</v>
      </c>
      <c r="C66" s="151">
        <v>4.3</v>
      </c>
      <c r="D66" s="166">
        <v>41484</v>
      </c>
      <c r="E66" s="166">
        <v>56003</v>
      </c>
      <c r="F66" s="149">
        <v>45504</v>
      </c>
      <c r="G66" s="174">
        <f t="shared" ref="G66:G68" si="20">DAYS360(F66,E66)</f>
        <v>10349</v>
      </c>
      <c r="H66" s="208">
        <f t="shared" si="2"/>
        <v>28.747222222222224</v>
      </c>
      <c r="I66" s="194">
        <f t="shared" si="9"/>
        <v>20698000000</v>
      </c>
      <c r="J66" s="196">
        <v>2000000</v>
      </c>
      <c r="K66" s="183">
        <v>1690000</v>
      </c>
      <c r="L66" s="34"/>
      <c r="M66" s="29"/>
      <c r="N66" s="32">
        <f>+J66*C66/100</f>
        <v>86000</v>
      </c>
      <c r="O66" s="33">
        <f t="shared" ref="O66:O68" si="21">+N66/K66</f>
        <v>5.0887573964497043E-2</v>
      </c>
    </row>
    <row r="67" spans="2:15" s="22" customFormat="1" ht="25.5" customHeight="1" x14ac:dyDescent="0.2">
      <c r="B67" s="150" t="s">
        <v>63</v>
      </c>
      <c r="C67" s="151">
        <v>4.3</v>
      </c>
      <c r="D67" s="166">
        <v>41492</v>
      </c>
      <c r="E67" s="166">
        <v>56003</v>
      </c>
      <c r="F67" s="149">
        <v>45504</v>
      </c>
      <c r="G67" s="174">
        <f t="shared" si="20"/>
        <v>10349</v>
      </c>
      <c r="H67" s="208">
        <f t="shared" si="2"/>
        <v>28.747222222222224</v>
      </c>
      <c r="I67" s="194">
        <f t="shared" si="9"/>
        <v>20698000000</v>
      </c>
      <c r="J67" s="196">
        <v>2000000</v>
      </c>
      <c r="K67" s="183">
        <v>1630000</v>
      </c>
      <c r="L67" s="34"/>
      <c r="M67" s="21"/>
      <c r="N67" s="32">
        <f>+J67*C67/100</f>
        <v>86000</v>
      </c>
      <c r="O67" s="33">
        <f t="shared" si="21"/>
        <v>5.2760736196319019E-2</v>
      </c>
    </row>
    <row r="68" spans="2:15" s="22" customFormat="1" ht="25.5" customHeight="1" x14ac:dyDescent="0.2">
      <c r="B68" s="150" t="s">
        <v>64</v>
      </c>
      <c r="C68" s="151">
        <v>4.3</v>
      </c>
      <c r="D68" s="166">
        <v>43795</v>
      </c>
      <c r="E68" s="166">
        <v>56003</v>
      </c>
      <c r="F68" s="149">
        <v>45504</v>
      </c>
      <c r="G68" s="174">
        <f t="shared" si="20"/>
        <v>10349</v>
      </c>
      <c r="H68" s="208">
        <f t="shared" si="2"/>
        <v>28.747222222222224</v>
      </c>
      <c r="I68" s="194">
        <f t="shared" si="9"/>
        <v>742352840516.25989</v>
      </c>
      <c r="J68" s="196">
        <v>71731842.739999995</v>
      </c>
      <c r="K68" s="183">
        <v>81247948.400000006</v>
      </c>
      <c r="L68" s="34"/>
      <c r="M68" s="21"/>
      <c r="N68" s="32">
        <f>+J68*C68/100</f>
        <v>3084469.2378199995</v>
      </c>
      <c r="O68" s="33">
        <f t="shared" si="21"/>
        <v>3.7963656911489466E-2</v>
      </c>
    </row>
    <row r="69" spans="2:15" s="22" customFormat="1" ht="25.5" customHeight="1" x14ac:dyDescent="0.2">
      <c r="B69" s="150"/>
      <c r="C69" s="151"/>
      <c r="D69" s="166"/>
      <c r="E69" s="166"/>
      <c r="F69" s="149"/>
      <c r="G69" s="174"/>
      <c r="H69" s="208"/>
      <c r="I69" s="194"/>
      <c r="J69" s="196"/>
      <c r="K69" s="183"/>
      <c r="L69" s="34"/>
      <c r="M69" s="21"/>
      <c r="N69" s="32"/>
      <c r="O69" s="33"/>
    </row>
    <row r="70" spans="2:15" s="22" customFormat="1" ht="26.25" customHeight="1" x14ac:dyDescent="0.2">
      <c r="B70" s="144" t="s">
        <v>65</v>
      </c>
      <c r="C70" s="151"/>
      <c r="D70" s="166"/>
      <c r="E70" s="166"/>
      <c r="F70" s="149"/>
      <c r="G70" s="173">
        <f>+I70/J70</f>
        <v>10678</v>
      </c>
      <c r="H70" s="207">
        <f>+G70/360</f>
        <v>29.661111111111111</v>
      </c>
      <c r="I70" s="190">
        <f>SUM(I71:I103)</f>
        <v>1639907718266.8401</v>
      </c>
      <c r="J70" s="219">
        <f>SUM(J71:J103)</f>
        <v>153578171.78</v>
      </c>
      <c r="K70" s="182">
        <f>SUM(K71:K103)</f>
        <v>150288797.06</v>
      </c>
      <c r="L70" s="34"/>
      <c r="M70" s="21"/>
      <c r="N70" s="36">
        <f>SUM(N71:N103)</f>
        <v>10522887.315108499</v>
      </c>
    </row>
    <row r="71" spans="2:15" s="22" customFormat="1" ht="25.5" customHeight="1" x14ac:dyDescent="0.2">
      <c r="B71" s="150" t="s">
        <v>66</v>
      </c>
      <c r="C71" s="148">
        <v>6.8529999999999998</v>
      </c>
      <c r="D71" s="166">
        <v>45013</v>
      </c>
      <c r="E71" s="166">
        <v>56336</v>
      </c>
      <c r="F71" s="149">
        <v>45504</v>
      </c>
      <c r="G71" s="174">
        <f t="shared" ref="G71:G103" si="22">DAYS360(F71,E71)</f>
        <v>10678</v>
      </c>
      <c r="H71" s="208">
        <f t="shared" si="2"/>
        <v>29.661111111111111</v>
      </c>
      <c r="I71" s="194">
        <f t="shared" ref="I71:I103" si="23">+G71*J71</f>
        <v>163805710575.79999</v>
      </c>
      <c r="J71" s="196">
        <v>15340486.1</v>
      </c>
      <c r="K71" s="186">
        <v>15340486.1</v>
      </c>
      <c r="L71" s="34"/>
      <c r="M71" s="21"/>
      <c r="N71" s="32">
        <f t="shared" ref="N71:N103" si="24">+J71*C71/100</f>
        <v>1051283.5124329999</v>
      </c>
      <c r="O71" s="33">
        <f t="shared" ref="O71:O103" si="25">+N71/K71</f>
        <v>6.8529999999999994E-2</v>
      </c>
    </row>
    <row r="72" spans="2:15" s="22" customFormat="1" ht="25.5" customHeight="1" x14ac:dyDescent="0.2">
      <c r="B72" s="150" t="s">
        <v>67</v>
      </c>
      <c r="C72" s="148">
        <v>6.8529999999999998</v>
      </c>
      <c r="D72" s="166">
        <v>45026</v>
      </c>
      <c r="E72" s="166">
        <v>56336</v>
      </c>
      <c r="F72" s="149">
        <v>45504</v>
      </c>
      <c r="G72" s="174">
        <f t="shared" si="22"/>
        <v>10678</v>
      </c>
      <c r="H72" s="208">
        <f t="shared" si="2"/>
        <v>29.661111111111111</v>
      </c>
      <c r="I72" s="194">
        <f t="shared" si="23"/>
        <v>53390000000</v>
      </c>
      <c r="J72" s="196">
        <v>5000000</v>
      </c>
      <c r="K72" s="186">
        <v>5192500</v>
      </c>
      <c r="L72" s="34"/>
      <c r="M72" s="21"/>
      <c r="N72" s="32">
        <f t="shared" si="24"/>
        <v>342650</v>
      </c>
      <c r="O72" s="33">
        <f t="shared" si="25"/>
        <v>6.5989407799711117E-2</v>
      </c>
    </row>
    <row r="73" spans="2:15" s="22" customFormat="1" ht="25.5" customHeight="1" x14ac:dyDescent="0.2">
      <c r="B73" s="150" t="s">
        <v>68</v>
      </c>
      <c r="C73" s="148">
        <v>6.8529999999999998</v>
      </c>
      <c r="D73" s="166">
        <v>45027</v>
      </c>
      <c r="E73" s="166">
        <v>56336</v>
      </c>
      <c r="F73" s="149">
        <v>45504</v>
      </c>
      <c r="G73" s="174">
        <f t="shared" si="22"/>
        <v>10678</v>
      </c>
      <c r="H73" s="208">
        <f t="shared" si="2"/>
        <v>29.661111111111111</v>
      </c>
      <c r="I73" s="194">
        <f t="shared" si="23"/>
        <v>26695000000</v>
      </c>
      <c r="J73" s="196">
        <v>2500000</v>
      </c>
      <c r="K73" s="186">
        <v>2593750</v>
      </c>
      <c r="L73" s="34"/>
      <c r="M73" s="21"/>
      <c r="N73" s="32">
        <f t="shared" si="24"/>
        <v>171325</v>
      </c>
      <c r="O73" s="33">
        <f t="shared" si="25"/>
        <v>6.6053012048192777E-2</v>
      </c>
    </row>
    <row r="74" spans="2:15" s="22" customFormat="1" ht="25.5" customHeight="1" x14ac:dyDescent="0.2">
      <c r="B74" s="150" t="s">
        <v>69</v>
      </c>
      <c r="C74" s="148">
        <v>6.8529999999999998</v>
      </c>
      <c r="D74" s="166">
        <v>45028</v>
      </c>
      <c r="E74" s="166">
        <v>56336</v>
      </c>
      <c r="F74" s="149">
        <v>45504</v>
      </c>
      <c r="G74" s="174">
        <f t="shared" si="22"/>
        <v>10678</v>
      </c>
      <c r="H74" s="208">
        <f t="shared" si="2"/>
        <v>29.661111111111111</v>
      </c>
      <c r="I74" s="194">
        <f t="shared" si="23"/>
        <v>26695000000</v>
      </c>
      <c r="J74" s="196">
        <v>2500000</v>
      </c>
      <c r="K74" s="186">
        <v>2612250</v>
      </c>
      <c r="L74" s="34"/>
      <c r="M74" s="21"/>
      <c r="N74" s="32">
        <f t="shared" si="24"/>
        <v>171325</v>
      </c>
      <c r="O74" s="33">
        <f t="shared" si="25"/>
        <v>6.5585223466360421E-2</v>
      </c>
    </row>
    <row r="75" spans="2:15" s="22" customFormat="1" ht="25.5" customHeight="1" x14ac:dyDescent="0.2">
      <c r="B75" s="150" t="s">
        <v>70</v>
      </c>
      <c r="C75" s="148">
        <v>6.8529999999999998</v>
      </c>
      <c r="D75" s="166">
        <v>45029</v>
      </c>
      <c r="E75" s="166">
        <v>56336</v>
      </c>
      <c r="F75" s="149">
        <v>45504</v>
      </c>
      <c r="G75" s="174">
        <f t="shared" si="22"/>
        <v>10678</v>
      </c>
      <c r="H75" s="208">
        <f t="shared" si="2"/>
        <v>29.661111111111111</v>
      </c>
      <c r="I75" s="194">
        <f t="shared" si="23"/>
        <v>16017000000</v>
      </c>
      <c r="J75" s="196">
        <v>1500000</v>
      </c>
      <c r="K75" s="186">
        <v>1567050</v>
      </c>
      <c r="L75" s="34"/>
      <c r="M75" s="21"/>
      <c r="N75" s="32">
        <f t="shared" si="24"/>
        <v>102795</v>
      </c>
      <c r="O75" s="33">
        <f t="shared" si="25"/>
        <v>6.5597779266775152E-2</v>
      </c>
    </row>
    <row r="76" spans="2:15" s="22" customFormat="1" ht="25.5" customHeight="1" x14ac:dyDescent="0.2">
      <c r="B76" s="150" t="s">
        <v>71</v>
      </c>
      <c r="C76" s="148">
        <v>6.8529999999999998</v>
      </c>
      <c r="D76" s="166">
        <v>45029</v>
      </c>
      <c r="E76" s="166">
        <v>56336</v>
      </c>
      <c r="F76" s="149">
        <v>45504</v>
      </c>
      <c r="G76" s="174">
        <f t="shared" si="22"/>
        <v>10678</v>
      </c>
      <c r="H76" s="208">
        <f t="shared" si="2"/>
        <v>29.661111111111111</v>
      </c>
      <c r="I76" s="194">
        <f t="shared" si="23"/>
        <v>26695000000</v>
      </c>
      <c r="J76" s="196">
        <v>2500000</v>
      </c>
      <c r="K76" s="186">
        <v>2603625</v>
      </c>
      <c r="L76" s="34"/>
      <c r="M76" s="21"/>
      <c r="N76" s="32">
        <f t="shared" si="24"/>
        <v>171325</v>
      </c>
      <c r="O76" s="33">
        <f t="shared" si="25"/>
        <v>6.5802486917278788E-2</v>
      </c>
    </row>
    <row r="77" spans="2:15" s="22" customFormat="1" ht="25.5" customHeight="1" x14ac:dyDescent="0.2">
      <c r="B77" s="150" t="s">
        <v>72</v>
      </c>
      <c r="C77" s="148">
        <v>6.8529999999999998</v>
      </c>
      <c r="D77" s="166">
        <v>45030</v>
      </c>
      <c r="E77" s="166">
        <v>56336</v>
      </c>
      <c r="F77" s="149">
        <v>45504</v>
      </c>
      <c r="G77" s="174">
        <f t="shared" si="22"/>
        <v>10678</v>
      </c>
      <c r="H77" s="208">
        <f t="shared" si="2"/>
        <v>29.661111111111111</v>
      </c>
      <c r="I77" s="194">
        <f t="shared" si="23"/>
        <v>3517447241.04</v>
      </c>
      <c r="J77" s="196">
        <v>329410.68</v>
      </c>
      <c r="K77" s="186">
        <v>341928.29</v>
      </c>
      <c r="L77" s="34"/>
      <c r="M77" s="21"/>
      <c r="N77" s="32">
        <f t="shared" si="24"/>
        <v>22574.513900400001</v>
      </c>
      <c r="O77" s="33">
        <f t="shared" si="25"/>
        <v>6.6021193801776401E-2</v>
      </c>
    </row>
    <row r="78" spans="2:15" s="22" customFormat="1" ht="25.5" customHeight="1" x14ac:dyDescent="0.2">
      <c r="B78" s="150" t="s">
        <v>73</v>
      </c>
      <c r="C78" s="148">
        <v>6.8529999999999998</v>
      </c>
      <c r="D78" s="166">
        <v>45036</v>
      </c>
      <c r="E78" s="166">
        <v>56336</v>
      </c>
      <c r="F78" s="149">
        <v>45504</v>
      </c>
      <c r="G78" s="174">
        <f t="shared" si="22"/>
        <v>10678</v>
      </c>
      <c r="H78" s="208">
        <f t="shared" si="2"/>
        <v>29.661111111111111</v>
      </c>
      <c r="I78" s="194">
        <f t="shared" si="23"/>
        <v>26695000000</v>
      </c>
      <c r="J78" s="196">
        <v>2500000</v>
      </c>
      <c r="K78" s="186">
        <v>2551000</v>
      </c>
      <c r="L78" s="34"/>
      <c r="M78" s="21"/>
      <c r="N78" s="32">
        <f t="shared" si="24"/>
        <v>171325</v>
      </c>
      <c r="O78" s="33">
        <f t="shared" si="25"/>
        <v>6.7159937279498233E-2</v>
      </c>
    </row>
    <row r="79" spans="2:15" s="22" customFormat="1" ht="25.5" customHeight="1" x14ac:dyDescent="0.2">
      <c r="B79" s="150" t="s">
        <v>74</v>
      </c>
      <c r="C79" s="148">
        <v>6.8529999999999998</v>
      </c>
      <c r="D79" s="166">
        <v>45037</v>
      </c>
      <c r="E79" s="166">
        <v>56336</v>
      </c>
      <c r="F79" s="149">
        <v>45504</v>
      </c>
      <c r="G79" s="174">
        <f t="shared" si="22"/>
        <v>10678</v>
      </c>
      <c r="H79" s="208">
        <f t="shared" si="2"/>
        <v>29.661111111111111</v>
      </c>
      <c r="I79" s="194">
        <f t="shared" si="23"/>
        <v>53390000000</v>
      </c>
      <c r="J79" s="196">
        <v>5000000</v>
      </c>
      <c r="K79" s="186">
        <v>5132000</v>
      </c>
      <c r="L79" s="34"/>
      <c r="M79" s="21"/>
      <c r="N79" s="32">
        <f t="shared" si="24"/>
        <v>342650</v>
      </c>
      <c r="O79" s="33">
        <f t="shared" si="25"/>
        <v>6.676734216679657E-2</v>
      </c>
    </row>
    <row r="80" spans="2:15" s="22" customFormat="1" ht="25.5" customHeight="1" x14ac:dyDescent="0.2">
      <c r="B80" s="150" t="s">
        <v>75</v>
      </c>
      <c r="C80" s="148">
        <v>6.8529999999999998</v>
      </c>
      <c r="D80" s="166">
        <v>45040</v>
      </c>
      <c r="E80" s="166">
        <v>56336</v>
      </c>
      <c r="F80" s="149">
        <v>45504</v>
      </c>
      <c r="G80" s="174">
        <f t="shared" si="22"/>
        <v>10678</v>
      </c>
      <c r="H80" s="208">
        <f t="shared" si="2"/>
        <v>29.661111111111111</v>
      </c>
      <c r="I80" s="194">
        <f t="shared" si="23"/>
        <v>9076300000</v>
      </c>
      <c r="J80" s="196">
        <v>850000</v>
      </c>
      <c r="K80" s="186">
        <v>865300</v>
      </c>
      <c r="L80" s="34"/>
      <c r="M80" s="21"/>
      <c r="N80" s="32">
        <f t="shared" si="24"/>
        <v>58250.5</v>
      </c>
      <c r="O80" s="33">
        <f t="shared" si="25"/>
        <v>6.7318271119842829E-2</v>
      </c>
    </row>
    <row r="81" spans="2:15" s="22" customFormat="1" ht="25.5" customHeight="1" x14ac:dyDescent="0.2">
      <c r="B81" s="150" t="s">
        <v>76</v>
      </c>
      <c r="C81" s="148">
        <v>6.8529999999999998</v>
      </c>
      <c r="D81" s="166">
        <v>45061</v>
      </c>
      <c r="E81" s="166">
        <v>56336</v>
      </c>
      <c r="F81" s="149">
        <v>45504</v>
      </c>
      <c r="G81" s="174">
        <f t="shared" si="22"/>
        <v>10678</v>
      </c>
      <c r="H81" s="208">
        <f t="shared" si="2"/>
        <v>29.661111111111111</v>
      </c>
      <c r="I81" s="194">
        <f t="shared" si="23"/>
        <v>41601488000</v>
      </c>
      <c r="J81" s="196">
        <v>3896000</v>
      </c>
      <c r="K81" s="186">
        <v>4024568</v>
      </c>
      <c r="L81" s="34"/>
      <c r="M81" s="21"/>
      <c r="N81" s="32">
        <f t="shared" si="24"/>
        <v>266992.88</v>
      </c>
      <c r="O81" s="33">
        <f t="shared" si="25"/>
        <v>6.6340755082284611E-2</v>
      </c>
    </row>
    <row r="82" spans="2:15" s="22" customFormat="1" ht="25.5" customHeight="1" x14ac:dyDescent="0.2">
      <c r="B82" s="150" t="s">
        <v>77</v>
      </c>
      <c r="C82" s="148">
        <v>6.8529999999999998</v>
      </c>
      <c r="D82" s="166">
        <v>45068</v>
      </c>
      <c r="E82" s="166">
        <v>56336</v>
      </c>
      <c r="F82" s="149">
        <v>45504</v>
      </c>
      <c r="G82" s="174">
        <f t="shared" si="22"/>
        <v>10678</v>
      </c>
      <c r="H82" s="208">
        <f t="shared" si="2"/>
        <v>29.661111111111111</v>
      </c>
      <c r="I82" s="194">
        <f t="shared" si="23"/>
        <v>26695000000</v>
      </c>
      <c r="J82" s="196">
        <v>2500000</v>
      </c>
      <c r="K82" s="186">
        <v>2555500</v>
      </c>
      <c r="L82" s="34"/>
      <c r="M82" s="21"/>
      <c r="N82" s="32">
        <f t="shared" si="24"/>
        <v>171325</v>
      </c>
      <c r="O82" s="33">
        <f t="shared" si="25"/>
        <v>6.7041674819017807E-2</v>
      </c>
    </row>
    <row r="83" spans="2:15" s="22" customFormat="1" ht="25.5" customHeight="1" x14ac:dyDescent="0.2">
      <c r="B83" s="150" t="s">
        <v>78</v>
      </c>
      <c r="C83" s="148">
        <v>6.8529999999999998</v>
      </c>
      <c r="D83" s="166">
        <v>45069</v>
      </c>
      <c r="E83" s="166">
        <v>56336</v>
      </c>
      <c r="F83" s="149">
        <v>45504</v>
      </c>
      <c r="G83" s="174">
        <f t="shared" si="22"/>
        <v>10678</v>
      </c>
      <c r="H83" s="208">
        <f t="shared" si="2"/>
        <v>29.661111111111111</v>
      </c>
      <c r="I83" s="194">
        <f t="shared" si="23"/>
        <v>80085000000</v>
      </c>
      <c r="J83" s="196">
        <v>7500000</v>
      </c>
      <c r="K83" s="186">
        <v>7677000</v>
      </c>
      <c r="L83" s="34"/>
      <c r="M83" s="21"/>
      <c r="N83" s="32">
        <f t="shared" si="24"/>
        <v>513975</v>
      </c>
      <c r="O83" s="33">
        <f t="shared" si="25"/>
        <v>6.6949980461117622E-2</v>
      </c>
    </row>
    <row r="84" spans="2:15" s="22" customFormat="1" ht="25.5" customHeight="1" x14ac:dyDescent="0.2">
      <c r="B84" s="150" t="s">
        <v>79</v>
      </c>
      <c r="C84" s="148">
        <v>6.8529999999999998</v>
      </c>
      <c r="D84" s="166">
        <v>45071</v>
      </c>
      <c r="E84" s="166">
        <v>56336</v>
      </c>
      <c r="F84" s="149">
        <v>45504</v>
      </c>
      <c r="G84" s="174">
        <f t="shared" si="22"/>
        <v>10678</v>
      </c>
      <c r="H84" s="208">
        <f t="shared" si="2"/>
        <v>29.661111111111111</v>
      </c>
      <c r="I84" s="194">
        <f t="shared" si="23"/>
        <v>26695000000</v>
      </c>
      <c r="J84" s="196">
        <v>2500000</v>
      </c>
      <c r="K84" s="186">
        <v>2551000</v>
      </c>
      <c r="L84" s="34"/>
      <c r="M84" s="21"/>
      <c r="N84" s="32">
        <f t="shared" si="24"/>
        <v>171325</v>
      </c>
      <c r="O84" s="33">
        <f t="shared" si="25"/>
        <v>6.7159937279498233E-2</v>
      </c>
    </row>
    <row r="85" spans="2:15" s="22" customFormat="1" ht="25.5" customHeight="1" x14ac:dyDescent="0.2">
      <c r="B85" s="150" t="s">
        <v>80</v>
      </c>
      <c r="C85" s="148">
        <v>6.8529999999999998</v>
      </c>
      <c r="D85" s="166">
        <v>45072</v>
      </c>
      <c r="E85" s="166">
        <v>56336</v>
      </c>
      <c r="F85" s="149">
        <v>45504</v>
      </c>
      <c r="G85" s="174">
        <f t="shared" si="22"/>
        <v>10678</v>
      </c>
      <c r="H85" s="208">
        <f t="shared" si="2"/>
        <v>29.661111111111111</v>
      </c>
      <c r="I85" s="194">
        <f t="shared" si="23"/>
        <v>32034000000</v>
      </c>
      <c r="J85" s="196">
        <v>3000000</v>
      </c>
      <c r="K85" s="186">
        <v>3062250</v>
      </c>
      <c r="L85" s="34"/>
      <c r="M85" s="21"/>
      <c r="N85" s="32">
        <f t="shared" si="24"/>
        <v>205590</v>
      </c>
      <c r="O85" s="33">
        <f t="shared" si="25"/>
        <v>6.7136909135439626E-2</v>
      </c>
    </row>
    <row r="86" spans="2:15" s="22" customFormat="1" ht="25.5" customHeight="1" x14ac:dyDescent="0.2">
      <c r="B86" s="150" t="s">
        <v>81</v>
      </c>
      <c r="C86" s="148">
        <v>6.8529999999999998</v>
      </c>
      <c r="D86" s="166">
        <v>45076</v>
      </c>
      <c r="E86" s="166">
        <v>56336</v>
      </c>
      <c r="F86" s="149">
        <v>45504</v>
      </c>
      <c r="G86" s="174">
        <f t="shared" si="22"/>
        <v>10678</v>
      </c>
      <c r="H86" s="208">
        <f t="shared" si="2"/>
        <v>29.661111111111111</v>
      </c>
      <c r="I86" s="194">
        <f t="shared" si="23"/>
        <v>26695000000</v>
      </c>
      <c r="J86" s="196">
        <v>2500000</v>
      </c>
      <c r="K86" s="186">
        <v>2560000</v>
      </c>
      <c r="L86" s="34"/>
      <c r="M86" s="21"/>
      <c r="N86" s="32">
        <f t="shared" si="24"/>
        <v>171325</v>
      </c>
      <c r="O86" s="33">
        <f t="shared" si="25"/>
        <v>6.6923828125000001E-2</v>
      </c>
    </row>
    <row r="87" spans="2:15" s="22" customFormat="1" ht="25.5" customHeight="1" x14ac:dyDescent="0.2">
      <c r="B87" s="150" t="s">
        <v>82</v>
      </c>
      <c r="C87" s="148">
        <v>6.8529999999999998</v>
      </c>
      <c r="D87" s="166">
        <v>45077</v>
      </c>
      <c r="E87" s="166">
        <v>56336</v>
      </c>
      <c r="F87" s="149">
        <v>45504</v>
      </c>
      <c r="G87" s="174">
        <f t="shared" si="22"/>
        <v>10678</v>
      </c>
      <c r="H87" s="208">
        <f t="shared" ref="H87:H145" si="26">+G87/360</f>
        <v>29.661111111111111</v>
      </c>
      <c r="I87" s="194">
        <f t="shared" si="23"/>
        <v>53390000000</v>
      </c>
      <c r="J87" s="196">
        <v>5000000</v>
      </c>
      <c r="K87" s="186">
        <v>5112000</v>
      </c>
      <c r="L87" s="34"/>
      <c r="M87" s="21"/>
      <c r="N87" s="32">
        <f t="shared" si="24"/>
        <v>342650</v>
      </c>
      <c r="O87" s="33">
        <f t="shared" si="25"/>
        <v>6.7028560250391236E-2</v>
      </c>
    </row>
    <row r="88" spans="2:15" s="22" customFormat="1" ht="25.5" customHeight="1" x14ac:dyDescent="0.2">
      <c r="B88" s="150" t="s">
        <v>83</v>
      </c>
      <c r="C88" s="148">
        <v>6.8529999999999998</v>
      </c>
      <c r="D88" s="166">
        <v>45089</v>
      </c>
      <c r="E88" s="166">
        <v>56336</v>
      </c>
      <c r="F88" s="149">
        <v>45504</v>
      </c>
      <c r="G88" s="174">
        <f t="shared" si="22"/>
        <v>10678</v>
      </c>
      <c r="H88" s="208">
        <f t="shared" si="26"/>
        <v>29.661111111111111</v>
      </c>
      <c r="I88" s="194">
        <f t="shared" si="23"/>
        <v>40042500000</v>
      </c>
      <c r="J88" s="196">
        <v>3750000</v>
      </c>
      <c r="K88" s="186">
        <v>3831750</v>
      </c>
      <c r="L88" s="34"/>
      <c r="M88" s="21"/>
      <c r="N88" s="32">
        <f t="shared" si="24"/>
        <v>256987.5</v>
      </c>
      <c r="O88" s="33">
        <f t="shared" si="25"/>
        <v>6.7067919357995692E-2</v>
      </c>
    </row>
    <row r="89" spans="2:15" s="22" customFormat="1" ht="25.5" customHeight="1" x14ac:dyDescent="0.2">
      <c r="B89" s="150" t="s">
        <v>84</v>
      </c>
      <c r="C89" s="148">
        <v>6.8529999999999998</v>
      </c>
      <c r="D89" s="166">
        <v>45097</v>
      </c>
      <c r="E89" s="166">
        <v>56336</v>
      </c>
      <c r="F89" s="149">
        <v>45504</v>
      </c>
      <c r="G89" s="174">
        <f t="shared" si="22"/>
        <v>10678</v>
      </c>
      <c r="H89" s="208">
        <f t="shared" si="26"/>
        <v>29.661111111111111</v>
      </c>
      <c r="I89" s="194">
        <f t="shared" si="23"/>
        <v>53390000000</v>
      </c>
      <c r="J89" s="196">
        <v>5000000</v>
      </c>
      <c r="K89" s="186">
        <v>5148750</v>
      </c>
      <c r="L89" s="34"/>
      <c r="M89" s="21"/>
      <c r="N89" s="32">
        <f t="shared" si="24"/>
        <v>342650</v>
      </c>
      <c r="O89" s="33">
        <f t="shared" si="25"/>
        <v>6.6550133527555233E-2</v>
      </c>
    </row>
    <row r="90" spans="2:15" s="22" customFormat="1" ht="25.5" customHeight="1" x14ac:dyDescent="0.2">
      <c r="B90" s="150" t="s">
        <v>85</v>
      </c>
      <c r="C90" s="148">
        <v>6.8529999999999998</v>
      </c>
      <c r="D90" s="166">
        <v>45103</v>
      </c>
      <c r="E90" s="166">
        <v>56336</v>
      </c>
      <c r="F90" s="149">
        <v>45504</v>
      </c>
      <c r="G90" s="174">
        <f t="shared" si="22"/>
        <v>10678</v>
      </c>
      <c r="H90" s="208">
        <f t="shared" si="26"/>
        <v>29.661111111111111</v>
      </c>
      <c r="I90" s="194">
        <f t="shared" si="23"/>
        <v>53390000000</v>
      </c>
      <c r="J90" s="196">
        <v>5000000</v>
      </c>
      <c r="K90" s="186">
        <v>5185250</v>
      </c>
      <c r="L90" s="34"/>
      <c r="M90" s="21"/>
      <c r="N90" s="32">
        <f t="shared" si="24"/>
        <v>342650</v>
      </c>
      <c r="O90" s="33">
        <f t="shared" si="25"/>
        <v>6.6081673979075259E-2</v>
      </c>
    </row>
    <row r="91" spans="2:15" s="22" customFormat="1" ht="25.5" customHeight="1" x14ac:dyDescent="0.2">
      <c r="B91" s="150" t="s">
        <v>86</v>
      </c>
      <c r="C91" s="148">
        <v>6.8529999999999998</v>
      </c>
      <c r="D91" s="166">
        <v>45104</v>
      </c>
      <c r="E91" s="166">
        <v>56336</v>
      </c>
      <c r="F91" s="149">
        <v>45504</v>
      </c>
      <c r="G91" s="174">
        <f t="shared" si="22"/>
        <v>10678</v>
      </c>
      <c r="H91" s="208">
        <f t="shared" si="26"/>
        <v>29.661111111111111</v>
      </c>
      <c r="I91" s="194">
        <f t="shared" si="23"/>
        <v>53397572517.260002</v>
      </c>
      <c r="J91" s="196">
        <v>5000709.17</v>
      </c>
      <c r="K91" s="186">
        <v>5206587.99</v>
      </c>
      <c r="L91" s="34"/>
      <c r="M91" s="21"/>
      <c r="N91" s="32">
        <f t="shared" si="24"/>
        <v>342698.59942009998</v>
      </c>
      <c r="O91" s="33">
        <f t="shared" si="25"/>
        <v>6.5820187823254273E-2</v>
      </c>
    </row>
    <row r="92" spans="2:15" s="22" customFormat="1" ht="25.5" customHeight="1" x14ac:dyDescent="0.2">
      <c r="B92" s="150" t="s">
        <v>87</v>
      </c>
      <c r="C92" s="148">
        <v>6.8529999999999998</v>
      </c>
      <c r="D92" s="166">
        <v>45106</v>
      </c>
      <c r="E92" s="166">
        <v>56336</v>
      </c>
      <c r="F92" s="149">
        <v>45504</v>
      </c>
      <c r="G92" s="174">
        <f t="shared" si="22"/>
        <v>10678</v>
      </c>
      <c r="H92" s="208">
        <f t="shared" si="26"/>
        <v>29.661111111111111</v>
      </c>
      <c r="I92" s="194">
        <f t="shared" si="23"/>
        <v>26695000000</v>
      </c>
      <c r="J92" s="196">
        <v>2500000</v>
      </c>
      <c r="K92" s="186">
        <v>2613375</v>
      </c>
      <c r="L92" s="34"/>
      <c r="M92" s="21"/>
      <c r="N92" s="32">
        <f t="shared" si="24"/>
        <v>171325</v>
      </c>
      <c r="O92" s="33">
        <f t="shared" si="25"/>
        <v>6.5556990481656863E-2</v>
      </c>
    </row>
    <row r="93" spans="2:15" s="22" customFormat="1" ht="25.5" customHeight="1" x14ac:dyDescent="0.2">
      <c r="B93" s="150" t="s">
        <v>87</v>
      </c>
      <c r="C93" s="148">
        <v>6.8529999999999998</v>
      </c>
      <c r="D93" s="166">
        <v>45110</v>
      </c>
      <c r="E93" s="166">
        <v>56336</v>
      </c>
      <c r="F93" s="149">
        <v>45504</v>
      </c>
      <c r="G93" s="174">
        <f t="shared" si="22"/>
        <v>10678</v>
      </c>
      <c r="H93" s="208">
        <f t="shared" si="26"/>
        <v>29.661111111111111</v>
      </c>
      <c r="I93" s="194">
        <f t="shared" si="23"/>
        <v>26695000000</v>
      </c>
      <c r="J93" s="196">
        <v>2500000</v>
      </c>
      <c r="K93" s="186">
        <v>2610375</v>
      </c>
      <c r="L93" s="34"/>
      <c r="M93" s="21"/>
      <c r="N93" s="32">
        <f t="shared" si="24"/>
        <v>171325</v>
      </c>
      <c r="O93" s="33">
        <f t="shared" si="25"/>
        <v>6.5632332519274056E-2</v>
      </c>
    </row>
    <row r="94" spans="2:15" s="22" customFormat="1" ht="25.5" customHeight="1" x14ac:dyDescent="0.2">
      <c r="B94" s="150" t="s">
        <v>87</v>
      </c>
      <c r="C94" s="148">
        <v>6.8529999999999998</v>
      </c>
      <c r="D94" s="166">
        <v>45112</v>
      </c>
      <c r="E94" s="166">
        <v>56336</v>
      </c>
      <c r="F94" s="149">
        <v>45504</v>
      </c>
      <c r="G94" s="174">
        <f t="shared" si="22"/>
        <v>10678</v>
      </c>
      <c r="H94" s="208">
        <f t="shared" si="26"/>
        <v>29.661111111111111</v>
      </c>
      <c r="I94" s="194">
        <f t="shared" si="23"/>
        <v>43619630000</v>
      </c>
      <c r="J94" s="196">
        <v>4085000</v>
      </c>
      <c r="K94" s="186">
        <v>4261390.3</v>
      </c>
      <c r="L94" s="34"/>
      <c r="M94" s="21"/>
      <c r="N94" s="32">
        <f t="shared" si="24"/>
        <v>279945.05</v>
      </c>
      <c r="O94" s="33">
        <f t="shared" si="25"/>
        <v>6.5693360685595961E-2</v>
      </c>
    </row>
    <row r="95" spans="2:15" s="22" customFormat="1" ht="25.5" customHeight="1" x14ac:dyDescent="0.2">
      <c r="B95" s="150" t="s">
        <v>88</v>
      </c>
      <c r="C95" s="148">
        <v>6.85</v>
      </c>
      <c r="D95" s="166">
        <v>45257</v>
      </c>
      <c r="E95" s="166">
        <v>56336</v>
      </c>
      <c r="F95" s="149">
        <v>45504</v>
      </c>
      <c r="G95" s="174">
        <f t="shared" si="22"/>
        <v>10678</v>
      </c>
      <c r="H95" s="208">
        <f t="shared" si="26"/>
        <v>29.661111111111111</v>
      </c>
      <c r="I95" s="194">
        <f t="shared" si="23"/>
        <v>106780000000</v>
      </c>
      <c r="J95" s="196">
        <v>10000000</v>
      </c>
      <c r="K95" s="186">
        <v>8902000</v>
      </c>
      <c r="L95" s="34"/>
      <c r="M95" s="21"/>
      <c r="N95" s="32">
        <f t="shared" si="24"/>
        <v>685000</v>
      </c>
      <c r="O95" s="33">
        <f t="shared" si="25"/>
        <v>7.6949000224668621E-2</v>
      </c>
    </row>
    <row r="96" spans="2:15" s="22" customFormat="1" ht="25.5" customHeight="1" x14ac:dyDescent="0.2">
      <c r="B96" s="150" t="s">
        <v>89</v>
      </c>
      <c r="C96" s="148">
        <v>6.85</v>
      </c>
      <c r="D96" s="166">
        <v>45257</v>
      </c>
      <c r="E96" s="166">
        <v>56336</v>
      </c>
      <c r="F96" s="149">
        <v>45504</v>
      </c>
      <c r="G96" s="174">
        <f t="shared" si="22"/>
        <v>10678</v>
      </c>
      <c r="H96" s="208">
        <f t="shared" si="26"/>
        <v>29.661111111111111</v>
      </c>
      <c r="I96" s="194">
        <f t="shared" si="23"/>
        <v>106780000000</v>
      </c>
      <c r="J96" s="196">
        <v>10000000</v>
      </c>
      <c r="K96" s="186">
        <v>8984000</v>
      </c>
      <c r="L96" s="34"/>
      <c r="M96" s="21"/>
      <c r="N96" s="32">
        <f t="shared" si="24"/>
        <v>685000</v>
      </c>
      <c r="O96" s="33">
        <f t="shared" si="25"/>
        <v>7.6246660730187002E-2</v>
      </c>
    </row>
    <row r="97" spans="2:15" s="22" customFormat="1" ht="25.5" customHeight="1" x14ac:dyDescent="0.2">
      <c r="B97" s="150" t="s">
        <v>90</v>
      </c>
      <c r="C97" s="148">
        <v>6.85</v>
      </c>
      <c r="D97" s="166">
        <v>45257</v>
      </c>
      <c r="E97" s="166">
        <v>56336</v>
      </c>
      <c r="F97" s="149">
        <v>45504</v>
      </c>
      <c r="G97" s="174">
        <f t="shared" si="22"/>
        <v>10678</v>
      </c>
      <c r="H97" s="208">
        <f t="shared" si="26"/>
        <v>29.661111111111111</v>
      </c>
      <c r="I97" s="194">
        <f t="shared" si="23"/>
        <v>53390000000</v>
      </c>
      <c r="J97" s="196">
        <v>5000000</v>
      </c>
      <c r="K97" s="186">
        <v>4495000</v>
      </c>
      <c r="L97" s="34"/>
      <c r="M97" s="21"/>
      <c r="N97" s="32">
        <f t="shared" si="24"/>
        <v>342500</v>
      </c>
      <c r="O97" s="33">
        <f t="shared" si="25"/>
        <v>7.6195773081201332E-2</v>
      </c>
    </row>
    <row r="98" spans="2:15" s="22" customFormat="1" ht="25.5" customHeight="1" x14ac:dyDescent="0.2">
      <c r="B98" s="150" t="s">
        <v>91</v>
      </c>
      <c r="C98" s="148">
        <v>6.85</v>
      </c>
      <c r="D98" s="166">
        <v>45260</v>
      </c>
      <c r="E98" s="166">
        <v>56336</v>
      </c>
      <c r="F98" s="149">
        <v>45504</v>
      </c>
      <c r="G98" s="174">
        <f t="shared" si="22"/>
        <v>10678</v>
      </c>
      <c r="H98" s="208">
        <f t="shared" si="26"/>
        <v>29.661111111111111</v>
      </c>
      <c r="I98" s="194">
        <f t="shared" si="23"/>
        <v>160170000000</v>
      </c>
      <c r="J98" s="196">
        <v>15000000</v>
      </c>
      <c r="K98" s="186">
        <v>13618500</v>
      </c>
      <c r="L98" s="34"/>
      <c r="M98" s="21"/>
      <c r="N98" s="32">
        <f t="shared" si="24"/>
        <v>1027500</v>
      </c>
      <c r="O98" s="33">
        <f t="shared" si="25"/>
        <v>7.5448837977750857E-2</v>
      </c>
    </row>
    <row r="99" spans="2:15" s="22" customFormat="1" ht="27" customHeight="1" x14ac:dyDescent="0.2">
      <c r="B99" s="150" t="s">
        <v>92</v>
      </c>
      <c r="C99" s="148">
        <v>6.85</v>
      </c>
      <c r="D99" s="166">
        <v>45475</v>
      </c>
      <c r="E99" s="166">
        <v>56336</v>
      </c>
      <c r="F99" s="149">
        <v>45504</v>
      </c>
      <c r="G99" s="174">
        <f t="shared" si="22"/>
        <v>10678</v>
      </c>
      <c r="H99" s="208">
        <f t="shared" si="26"/>
        <v>29.661111111111111</v>
      </c>
      <c r="I99" s="194">
        <f t="shared" si="23"/>
        <v>8826069932.7399998</v>
      </c>
      <c r="J99" s="196">
        <v>826565.83</v>
      </c>
      <c r="K99" s="186">
        <v>770111.38</v>
      </c>
      <c r="L99" s="34"/>
      <c r="M99" s="21"/>
      <c r="N99" s="32">
        <f t="shared" si="24"/>
        <v>56619.759354999995</v>
      </c>
      <c r="O99" s="33">
        <f t="shared" si="25"/>
        <v>7.3521520166342683E-2</v>
      </c>
    </row>
    <row r="100" spans="2:15" s="22" customFormat="1" ht="27" customHeight="1" x14ac:dyDescent="0.2">
      <c r="B100" s="150" t="s">
        <v>93</v>
      </c>
      <c r="C100" s="148">
        <v>6.85</v>
      </c>
      <c r="D100" s="166">
        <v>45478</v>
      </c>
      <c r="E100" s="166">
        <v>56336</v>
      </c>
      <c r="F100" s="149">
        <v>45504</v>
      </c>
      <c r="G100" s="174">
        <f t="shared" si="22"/>
        <v>10678</v>
      </c>
      <c r="H100" s="208">
        <f t="shared" si="26"/>
        <v>29.661111111111111</v>
      </c>
      <c r="I100" s="194">
        <f t="shared" si="23"/>
        <v>53390000000</v>
      </c>
      <c r="J100" s="196">
        <v>5000000</v>
      </c>
      <c r="K100" s="186">
        <v>4561500</v>
      </c>
      <c r="L100" s="34"/>
      <c r="M100" s="21"/>
      <c r="N100" s="32">
        <f t="shared" si="24"/>
        <v>342500</v>
      </c>
      <c r="O100" s="33">
        <f t="shared" si="25"/>
        <v>7.5084950126055025E-2</v>
      </c>
    </row>
    <row r="101" spans="2:15" s="22" customFormat="1" ht="27" customHeight="1" x14ac:dyDescent="0.2">
      <c r="B101" s="150" t="s">
        <v>94</v>
      </c>
      <c r="C101" s="148">
        <v>6.85</v>
      </c>
      <c r="D101" s="166">
        <v>45478</v>
      </c>
      <c r="E101" s="166">
        <v>56336</v>
      </c>
      <c r="F101" s="149">
        <v>45504</v>
      </c>
      <c r="G101" s="174">
        <f t="shared" si="22"/>
        <v>10678</v>
      </c>
      <c r="H101" s="208">
        <f t="shared" si="26"/>
        <v>29.661111111111111</v>
      </c>
      <c r="I101" s="194">
        <f t="shared" si="23"/>
        <v>53390000000</v>
      </c>
      <c r="J101" s="196">
        <v>5000000</v>
      </c>
      <c r="K101" s="186">
        <v>4577500</v>
      </c>
      <c r="L101" s="34"/>
      <c r="M101" s="21"/>
      <c r="N101" s="32">
        <f t="shared" si="24"/>
        <v>342500</v>
      </c>
      <c r="O101" s="33">
        <f t="shared" si="25"/>
        <v>7.4822501365374119E-2</v>
      </c>
    </row>
    <row r="102" spans="2:15" s="22" customFormat="1" ht="27" customHeight="1" x14ac:dyDescent="0.2">
      <c r="B102" s="150" t="s">
        <v>95</v>
      </c>
      <c r="C102" s="148">
        <v>6.85</v>
      </c>
      <c r="D102" s="166">
        <v>45478</v>
      </c>
      <c r="E102" s="166">
        <v>56336</v>
      </c>
      <c r="F102" s="149">
        <v>45504</v>
      </c>
      <c r="G102" s="174">
        <f t="shared" si="22"/>
        <v>10678</v>
      </c>
      <c r="H102" s="208">
        <f t="shared" si="26"/>
        <v>29.661111111111111</v>
      </c>
      <c r="I102" s="194">
        <f t="shared" si="23"/>
        <v>53390000000</v>
      </c>
      <c r="J102" s="196">
        <v>5000000</v>
      </c>
      <c r="K102" s="186">
        <v>4585500</v>
      </c>
      <c r="L102" s="34"/>
      <c r="M102" s="21"/>
      <c r="N102" s="32">
        <f t="shared" si="24"/>
        <v>342500</v>
      </c>
      <c r="O102" s="33">
        <f t="shared" si="25"/>
        <v>7.4691963798931421E-2</v>
      </c>
    </row>
    <row r="103" spans="2:15" s="22" customFormat="1" ht="27" customHeight="1" x14ac:dyDescent="0.2">
      <c r="B103" s="150" t="s">
        <v>96</v>
      </c>
      <c r="C103" s="148">
        <v>6.85</v>
      </c>
      <c r="D103" s="166">
        <v>45478</v>
      </c>
      <c r="E103" s="166">
        <v>56336</v>
      </c>
      <c r="F103" s="149">
        <v>45504</v>
      </c>
      <c r="G103" s="174">
        <f t="shared" si="22"/>
        <v>10678</v>
      </c>
      <c r="H103" s="208">
        <f t="shared" si="26"/>
        <v>29.661111111111111</v>
      </c>
      <c r="I103" s="194">
        <f t="shared" si="23"/>
        <v>53390000000</v>
      </c>
      <c r="J103" s="196">
        <v>5000000</v>
      </c>
      <c r="K103" s="186">
        <v>4595000</v>
      </c>
      <c r="L103" s="34"/>
      <c r="M103" s="21"/>
      <c r="N103" s="32">
        <f t="shared" si="24"/>
        <v>342500</v>
      </c>
      <c r="O103" s="33">
        <f t="shared" si="25"/>
        <v>7.4537540805223068E-2</v>
      </c>
    </row>
    <row r="104" spans="2:15" s="22" customFormat="1" ht="27" customHeight="1" x14ac:dyDescent="0.2">
      <c r="B104" s="150"/>
      <c r="C104" s="148"/>
      <c r="D104" s="166"/>
      <c r="E104" s="166"/>
      <c r="F104" s="149"/>
      <c r="G104" s="174"/>
      <c r="H104" s="208"/>
      <c r="I104" s="168"/>
      <c r="J104" s="196"/>
      <c r="K104" s="186"/>
      <c r="L104" s="34"/>
      <c r="M104" s="21"/>
      <c r="N104" s="32"/>
      <c r="O104" s="33"/>
    </row>
    <row r="105" spans="2:15" s="22" customFormat="1" ht="21.75" customHeight="1" x14ac:dyDescent="0.2">
      <c r="B105" s="144" t="s">
        <v>97</v>
      </c>
      <c r="C105" s="151"/>
      <c r="D105" s="166"/>
      <c r="E105" s="166"/>
      <c r="F105" s="149"/>
      <c r="G105" s="173">
        <f>+I105/J105</f>
        <v>11404</v>
      </c>
      <c r="H105" s="207">
        <f>+G105/360</f>
        <v>31.677777777777777</v>
      </c>
      <c r="I105" s="190">
        <f>SUM(I106:I109)</f>
        <v>186455400000</v>
      </c>
      <c r="J105" s="219">
        <f>SUM(J106:J109)</f>
        <v>16350000</v>
      </c>
      <c r="K105" s="182">
        <f>SUM(K106:K109)</f>
        <v>10870650</v>
      </c>
      <c r="L105" s="34"/>
      <c r="M105" s="21"/>
      <c r="N105" s="36">
        <f>SUM(N106:N109)</f>
        <v>735750</v>
      </c>
    </row>
    <row r="106" spans="2:15" s="22" customFormat="1" ht="25.5" customHeight="1" x14ac:dyDescent="0.2">
      <c r="B106" s="150" t="s">
        <v>98</v>
      </c>
      <c r="C106" s="148">
        <v>4.5</v>
      </c>
      <c r="D106" s="166">
        <v>45020</v>
      </c>
      <c r="E106" s="166">
        <v>57074</v>
      </c>
      <c r="F106" s="149">
        <v>45504</v>
      </c>
      <c r="G106" s="174">
        <f t="shared" ref="G106:G109" si="27">DAYS360(F106,E106)</f>
        <v>11404</v>
      </c>
      <c r="H106" s="208">
        <f t="shared" si="26"/>
        <v>31.677777777777777</v>
      </c>
      <c r="I106" s="194">
        <f t="shared" ref="I106:I109" si="28">+G106*J106</f>
        <v>32501400000</v>
      </c>
      <c r="J106" s="196">
        <v>2850000</v>
      </c>
      <c r="K106" s="186">
        <v>2168850</v>
      </c>
      <c r="L106" s="34"/>
      <c r="M106" s="21"/>
      <c r="N106" s="32">
        <f>+J106*C106/100</f>
        <v>128250</v>
      </c>
      <c r="O106" s="33">
        <f t="shared" ref="O106:O109" si="29">+N106/K106</f>
        <v>5.9132720105124839E-2</v>
      </c>
    </row>
    <row r="107" spans="2:15" s="22" customFormat="1" ht="25.5" customHeight="1" x14ac:dyDescent="0.2">
      <c r="B107" s="150" t="s">
        <v>99</v>
      </c>
      <c r="C107" s="148">
        <v>4.5</v>
      </c>
      <c r="D107" s="166">
        <v>45257</v>
      </c>
      <c r="E107" s="166">
        <v>57074</v>
      </c>
      <c r="F107" s="149">
        <v>45504</v>
      </c>
      <c r="G107" s="174">
        <f t="shared" si="27"/>
        <v>11404</v>
      </c>
      <c r="H107" s="208">
        <f t="shared" si="26"/>
        <v>31.677777777777777</v>
      </c>
      <c r="I107" s="194">
        <f t="shared" si="28"/>
        <v>34212000000</v>
      </c>
      <c r="J107" s="196">
        <v>3000000</v>
      </c>
      <c r="K107" s="186">
        <v>1933500</v>
      </c>
      <c r="L107" s="34"/>
      <c r="M107" s="21"/>
      <c r="N107" s="32">
        <f>+J107*C107/100</f>
        <v>135000</v>
      </c>
      <c r="O107" s="33">
        <f t="shared" si="29"/>
        <v>6.9821567106283941E-2</v>
      </c>
    </row>
    <row r="108" spans="2:15" s="22" customFormat="1" ht="25.5" customHeight="1" x14ac:dyDescent="0.2">
      <c r="B108" s="150" t="s">
        <v>100</v>
      </c>
      <c r="C108" s="148">
        <v>4.5</v>
      </c>
      <c r="D108" s="166">
        <v>45257</v>
      </c>
      <c r="E108" s="166">
        <v>57074</v>
      </c>
      <c r="F108" s="149">
        <v>45504</v>
      </c>
      <c r="G108" s="174">
        <f t="shared" si="27"/>
        <v>11404</v>
      </c>
      <c r="H108" s="208">
        <f t="shared" si="26"/>
        <v>31.677777777777777</v>
      </c>
      <c r="I108" s="194">
        <f t="shared" si="28"/>
        <v>62722000000</v>
      </c>
      <c r="J108" s="196">
        <v>5500000</v>
      </c>
      <c r="K108" s="186">
        <v>3545300</v>
      </c>
      <c r="L108" s="31"/>
      <c r="M108" s="21"/>
      <c r="N108" s="32">
        <f>+J108*C108/100</f>
        <v>247500</v>
      </c>
      <c r="O108" s="33">
        <f t="shared" si="29"/>
        <v>6.9810735339745578E-2</v>
      </c>
    </row>
    <row r="109" spans="2:15" s="22" customFormat="1" ht="27" customHeight="1" x14ac:dyDescent="0.2">
      <c r="B109" s="150" t="s">
        <v>101</v>
      </c>
      <c r="C109" s="148">
        <v>4.5</v>
      </c>
      <c r="D109" s="166">
        <v>45257</v>
      </c>
      <c r="E109" s="166">
        <v>57074</v>
      </c>
      <c r="F109" s="149">
        <v>45504</v>
      </c>
      <c r="G109" s="174">
        <f t="shared" si="27"/>
        <v>11404</v>
      </c>
      <c r="H109" s="208">
        <f t="shared" si="26"/>
        <v>31.677777777777777</v>
      </c>
      <c r="I109" s="194">
        <f t="shared" si="28"/>
        <v>57020000000</v>
      </c>
      <c r="J109" s="196">
        <v>5000000</v>
      </c>
      <c r="K109" s="186">
        <v>3223000</v>
      </c>
      <c r="L109" s="31"/>
      <c r="M109" s="21"/>
      <c r="N109" s="32">
        <f>+J109*C109/100</f>
        <v>225000</v>
      </c>
      <c r="O109" s="33">
        <f t="shared" si="29"/>
        <v>6.9810735339745578E-2</v>
      </c>
    </row>
    <row r="110" spans="2:15" s="22" customFormat="1" ht="27" customHeight="1" x14ac:dyDescent="0.2">
      <c r="B110" s="150"/>
      <c r="C110" s="148"/>
      <c r="D110" s="166"/>
      <c r="E110" s="166"/>
      <c r="F110" s="149"/>
      <c r="G110" s="174"/>
      <c r="H110" s="208"/>
      <c r="I110" s="168"/>
      <c r="J110" s="196"/>
      <c r="K110" s="186"/>
      <c r="L110" s="31"/>
      <c r="M110" s="21"/>
      <c r="N110" s="32"/>
      <c r="O110" s="33"/>
    </row>
    <row r="111" spans="2:15" s="22" customFormat="1" ht="21.75" customHeight="1" x14ac:dyDescent="0.2">
      <c r="B111" s="144" t="s">
        <v>102</v>
      </c>
      <c r="C111" s="151"/>
      <c r="D111" s="166"/>
      <c r="E111" s="166"/>
      <c r="F111" s="149"/>
      <c r="G111" s="173">
        <f>+I111/J111</f>
        <v>11731.000000000002</v>
      </c>
      <c r="H111" s="207">
        <f>+G111/360</f>
        <v>32.586111111111116</v>
      </c>
      <c r="I111" s="190">
        <f>SUM(I112:I138)</f>
        <v>1275331795881.5801</v>
      </c>
      <c r="J111" s="219">
        <f>SUM(J112:J138)</f>
        <v>108714670.17999999</v>
      </c>
      <c r="K111" s="182">
        <f>SUM(K112:K138)</f>
        <v>108984396.03</v>
      </c>
      <c r="L111" s="31"/>
      <c r="M111" s="21"/>
      <c r="N111" s="36">
        <f>SUM(N112:N138)</f>
        <v>8562867.2024009991</v>
      </c>
    </row>
    <row r="112" spans="2:15" s="22" customFormat="1" ht="25.5" customHeight="1" x14ac:dyDescent="0.2">
      <c r="B112" s="150" t="s">
        <v>103</v>
      </c>
      <c r="C112" s="148">
        <v>7.875</v>
      </c>
      <c r="D112" s="166">
        <v>45379</v>
      </c>
      <c r="E112" s="166">
        <v>57405</v>
      </c>
      <c r="F112" s="149">
        <v>45504</v>
      </c>
      <c r="G112" s="174">
        <f t="shared" ref="G112:G138" si="30">DAYS360(F112,E112)</f>
        <v>11731</v>
      </c>
      <c r="H112" s="208">
        <f t="shared" si="26"/>
        <v>32.586111111111109</v>
      </c>
      <c r="I112" s="194">
        <f t="shared" ref="I112:I138" si="31">+G112*J112</f>
        <v>58655000000</v>
      </c>
      <c r="J112" s="196">
        <v>5000000</v>
      </c>
      <c r="K112" s="186">
        <v>5136750</v>
      </c>
      <c r="L112" s="37">
        <v>5136750</v>
      </c>
      <c r="M112" s="21"/>
      <c r="N112" s="32">
        <f t="shared" ref="N112:N138" si="32">+J112*C112/100</f>
        <v>393750</v>
      </c>
      <c r="O112" s="33">
        <f t="shared" ref="O112:O138" si="33">+N112/K112</f>
        <v>7.6653526062198857E-2</v>
      </c>
    </row>
    <row r="113" spans="2:15" s="22" customFormat="1" ht="25.5" customHeight="1" x14ac:dyDescent="0.2">
      <c r="B113" s="150" t="s">
        <v>104</v>
      </c>
      <c r="C113" s="148">
        <v>7.875</v>
      </c>
      <c r="D113" s="166">
        <v>45383</v>
      </c>
      <c r="E113" s="166">
        <v>57405</v>
      </c>
      <c r="F113" s="149">
        <v>45504</v>
      </c>
      <c r="G113" s="174">
        <f t="shared" si="30"/>
        <v>11731</v>
      </c>
      <c r="H113" s="208">
        <f t="shared" si="26"/>
        <v>32.586111111111109</v>
      </c>
      <c r="I113" s="194">
        <f t="shared" si="31"/>
        <v>58655000000</v>
      </c>
      <c r="J113" s="196">
        <v>5000000</v>
      </c>
      <c r="K113" s="186">
        <v>5125500</v>
      </c>
      <c r="L113" s="38"/>
      <c r="M113" s="21"/>
      <c r="N113" s="32">
        <f t="shared" si="32"/>
        <v>393750</v>
      </c>
      <c r="O113" s="33">
        <f t="shared" si="33"/>
        <v>7.6821773485513611E-2</v>
      </c>
    </row>
    <row r="114" spans="2:15" s="22" customFormat="1" ht="25.5" customHeight="1" x14ac:dyDescent="0.2">
      <c r="B114" s="150" t="s">
        <v>105</v>
      </c>
      <c r="C114" s="148">
        <v>7.875</v>
      </c>
      <c r="D114" s="166">
        <v>45383</v>
      </c>
      <c r="E114" s="166">
        <v>57405</v>
      </c>
      <c r="F114" s="149">
        <v>45504</v>
      </c>
      <c r="G114" s="174">
        <f t="shared" si="30"/>
        <v>11731</v>
      </c>
      <c r="H114" s="208">
        <f t="shared" si="26"/>
        <v>32.586111111111109</v>
      </c>
      <c r="I114" s="194">
        <f t="shared" si="31"/>
        <v>58655000000</v>
      </c>
      <c r="J114" s="196">
        <v>5000000</v>
      </c>
      <c r="K114" s="186">
        <v>5120000</v>
      </c>
      <c r="L114" s="38"/>
      <c r="M114" s="21"/>
      <c r="N114" s="32">
        <f t="shared" si="32"/>
        <v>393750</v>
      </c>
      <c r="O114" s="33">
        <f t="shared" si="33"/>
        <v>7.6904296875E-2</v>
      </c>
    </row>
    <row r="115" spans="2:15" s="22" customFormat="1" ht="25.5" customHeight="1" x14ac:dyDescent="0.2">
      <c r="B115" s="150" t="s">
        <v>106</v>
      </c>
      <c r="C115" s="148">
        <v>7.875</v>
      </c>
      <c r="D115" s="166">
        <v>45386</v>
      </c>
      <c r="E115" s="166">
        <v>57405</v>
      </c>
      <c r="F115" s="149">
        <v>45504</v>
      </c>
      <c r="G115" s="174">
        <f t="shared" si="30"/>
        <v>11731</v>
      </c>
      <c r="H115" s="208">
        <f t="shared" si="26"/>
        <v>32.586111111111109</v>
      </c>
      <c r="I115" s="194">
        <f t="shared" si="31"/>
        <v>58655000000</v>
      </c>
      <c r="J115" s="196">
        <v>5000000</v>
      </c>
      <c r="K115" s="186">
        <v>5017500</v>
      </c>
      <c r="L115" s="38"/>
      <c r="M115" s="21"/>
      <c r="N115" s="32">
        <f t="shared" si="32"/>
        <v>393750</v>
      </c>
      <c r="O115" s="33">
        <f t="shared" si="33"/>
        <v>7.847533632286996E-2</v>
      </c>
    </row>
    <row r="116" spans="2:15" s="22" customFormat="1" ht="25.5" customHeight="1" x14ac:dyDescent="0.2">
      <c r="B116" s="150" t="s">
        <v>107</v>
      </c>
      <c r="C116" s="148">
        <v>7.875</v>
      </c>
      <c r="D116" s="166">
        <v>45386</v>
      </c>
      <c r="E116" s="166">
        <v>57405</v>
      </c>
      <c r="F116" s="149">
        <v>45504</v>
      </c>
      <c r="G116" s="174">
        <f t="shared" si="30"/>
        <v>11731</v>
      </c>
      <c r="H116" s="208">
        <f t="shared" si="26"/>
        <v>32.586111111111109</v>
      </c>
      <c r="I116" s="194">
        <f t="shared" si="31"/>
        <v>58655000000</v>
      </c>
      <c r="J116" s="196">
        <v>5000000</v>
      </c>
      <c r="K116" s="186">
        <v>5014450</v>
      </c>
      <c r="L116" s="38"/>
      <c r="M116" s="21"/>
      <c r="N116" s="32">
        <f t="shared" si="32"/>
        <v>393750</v>
      </c>
      <c r="O116" s="33">
        <f t="shared" si="33"/>
        <v>7.8523068332519014E-2</v>
      </c>
    </row>
    <row r="117" spans="2:15" s="22" customFormat="1" ht="25.5" customHeight="1" x14ac:dyDescent="0.2">
      <c r="B117" s="150" t="s">
        <v>108</v>
      </c>
      <c r="C117" s="148">
        <v>7.875</v>
      </c>
      <c r="D117" s="166">
        <v>45390</v>
      </c>
      <c r="E117" s="166">
        <v>57405</v>
      </c>
      <c r="F117" s="149">
        <v>45504</v>
      </c>
      <c r="G117" s="174">
        <f t="shared" si="30"/>
        <v>11731</v>
      </c>
      <c r="H117" s="208">
        <f t="shared" si="26"/>
        <v>32.586111111111109</v>
      </c>
      <c r="I117" s="194">
        <f t="shared" si="31"/>
        <v>58655000000</v>
      </c>
      <c r="J117" s="196">
        <v>5000000</v>
      </c>
      <c r="K117" s="186">
        <v>5015000</v>
      </c>
      <c r="L117" s="38"/>
      <c r="M117" s="21"/>
      <c r="N117" s="32">
        <f t="shared" si="32"/>
        <v>393750</v>
      </c>
      <c r="O117" s="33">
        <f t="shared" si="33"/>
        <v>7.8514456630109669E-2</v>
      </c>
    </row>
    <row r="118" spans="2:15" s="22" customFormat="1" ht="25.5" customHeight="1" x14ac:dyDescent="0.2">
      <c r="B118" s="150" t="s">
        <v>109</v>
      </c>
      <c r="C118" s="148">
        <v>7.875</v>
      </c>
      <c r="D118" s="166">
        <v>45390</v>
      </c>
      <c r="E118" s="166">
        <v>57405</v>
      </c>
      <c r="F118" s="149">
        <v>45504</v>
      </c>
      <c r="G118" s="174">
        <f t="shared" si="30"/>
        <v>11731</v>
      </c>
      <c r="H118" s="208">
        <f t="shared" si="26"/>
        <v>32.586111111111109</v>
      </c>
      <c r="I118" s="194">
        <f t="shared" si="31"/>
        <v>58655000000</v>
      </c>
      <c r="J118" s="196">
        <v>5000000</v>
      </c>
      <c r="K118" s="186">
        <v>5034000.0000000009</v>
      </c>
      <c r="L118" s="38"/>
      <c r="M118" s="21"/>
      <c r="N118" s="32">
        <f t="shared" si="32"/>
        <v>393750</v>
      </c>
      <c r="O118" s="33">
        <f t="shared" si="33"/>
        <v>7.8218116805721077E-2</v>
      </c>
    </row>
    <row r="119" spans="2:15" s="22" customFormat="1" ht="25.5" customHeight="1" x14ac:dyDescent="0.2">
      <c r="B119" s="150" t="s">
        <v>110</v>
      </c>
      <c r="C119" s="148">
        <v>7.875</v>
      </c>
      <c r="D119" s="166">
        <v>45390</v>
      </c>
      <c r="E119" s="166">
        <v>57405</v>
      </c>
      <c r="F119" s="149">
        <v>45504</v>
      </c>
      <c r="G119" s="174">
        <f t="shared" si="30"/>
        <v>11731</v>
      </c>
      <c r="H119" s="208">
        <f t="shared" si="26"/>
        <v>32.586111111111109</v>
      </c>
      <c r="I119" s="194">
        <f t="shared" si="31"/>
        <v>58655000000</v>
      </c>
      <c r="J119" s="196">
        <v>5000000</v>
      </c>
      <c r="K119" s="186">
        <v>5032500</v>
      </c>
      <c r="L119" s="38"/>
      <c r="M119" s="21"/>
      <c r="N119" s="32">
        <f t="shared" si="32"/>
        <v>393750</v>
      </c>
      <c r="O119" s="33">
        <f t="shared" si="33"/>
        <v>7.824143070044709E-2</v>
      </c>
    </row>
    <row r="120" spans="2:15" s="22" customFormat="1" ht="25.5" customHeight="1" x14ac:dyDescent="0.2">
      <c r="B120" s="150" t="s">
        <v>111</v>
      </c>
      <c r="C120" s="148">
        <v>7.875</v>
      </c>
      <c r="D120" s="166">
        <v>45392</v>
      </c>
      <c r="E120" s="166">
        <v>57405</v>
      </c>
      <c r="F120" s="149">
        <v>45504</v>
      </c>
      <c r="G120" s="174">
        <f t="shared" si="30"/>
        <v>11731</v>
      </c>
      <c r="H120" s="208">
        <f t="shared" si="26"/>
        <v>32.586111111111109</v>
      </c>
      <c r="I120" s="194">
        <f t="shared" si="31"/>
        <v>58655000000</v>
      </c>
      <c r="J120" s="196">
        <v>5000000</v>
      </c>
      <c r="K120" s="186">
        <v>5060000</v>
      </c>
      <c r="L120" s="38"/>
      <c r="M120" s="21"/>
      <c r="N120" s="32">
        <f t="shared" si="32"/>
        <v>393750</v>
      </c>
      <c r="O120" s="33">
        <f t="shared" si="33"/>
        <v>7.7816205533596833E-2</v>
      </c>
    </row>
    <row r="121" spans="2:15" s="22" customFormat="1" ht="25.5" customHeight="1" x14ac:dyDescent="0.2">
      <c r="B121" s="150" t="s">
        <v>112</v>
      </c>
      <c r="C121" s="148">
        <v>7.875</v>
      </c>
      <c r="D121" s="166">
        <v>45393</v>
      </c>
      <c r="E121" s="166">
        <v>57405</v>
      </c>
      <c r="F121" s="149">
        <v>45504</v>
      </c>
      <c r="G121" s="174">
        <f t="shared" si="30"/>
        <v>11731</v>
      </c>
      <c r="H121" s="208">
        <f t="shared" si="26"/>
        <v>32.586111111111109</v>
      </c>
      <c r="I121" s="194">
        <f t="shared" si="31"/>
        <v>58655000000</v>
      </c>
      <c r="J121" s="196">
        <v>5000000</v>
      </c>
      <c r="K121" s="186">
        <v>5066500</v>
      </c>
      <c r="L121" s="38"/>
      <c r="M121" s="21"/>
      <c r="N121" s="32">
        <f t="shared" si="32"/>
        <v>393750</v>
      </c>
      <c r="O121" s="33">
        <f t="shared" si="33"/>
        <v>7.7716372249087146E-2</v>
      </c>
    </row>
    <row r="122" spans="2:15" s="22" customFormat="1" ht="25.5" customHeight="1" x14ac:dyDescent="0.2">
      <c r="B122" s="150" t="s">
        <v>113</v>
      </c>
      <c r="C122" s="148">
        <v>7.875</v>
      </c>
      <c r="D122" s="166">
        <v>45397</v>
      </c>
      <c r="E122" s="166">
        <v>57405</v>
      </c>
      <c r="F122" s="149">
        <v>45504</v>
      </c>
      <c r="G122" s="174">
        <f t="shared" si="30"/>
        <v>11731</v>
      </c>
      <c r="H122" s="208">
        <f t="shared" si="26"/>
        <v>32.586111111111109</v>
      </c>
      <c r="I122" s="194">
        <f t="shared" si="31"/>
        <v>58655000000</v>
      </c>
      <c r="J122" s="196">
        <v>5000000</v>
      </c>
      <c r="K122" s="186">
        <v>5087500</v>
      </c>
      <c r="L122" s="38"/>
      <c r="M122" s="21"/>
      <c r="N122" s="32">
        <f t="shared" si="32"/>
        <v>393750</v>
      </c>
      <c r="O122" s="33">
        <f t="shared" si="33"/>
        <v>7.7395577395577397E-2</v>
      </c>
    </row>
    <row r="123" spans="2:15" s="22" customFormat="1" ht="25.5" customHeight="1" x14ac:dyDescent="0.2">
      <c r="B123" s="150" t="s">
        <v>114</v>
      </c>
      <c r="C123" s="148">
        <v>7.875</v>
      </c>
      <c r="D123" s="166">
        <v>45397</v>
      </c>
      <c r="E123" s="166">
        <v>57405</v>
      </c>
      <c r="F123" s="149">
        <v>45504</v>
      </c>
      <c r="G123" s="174">
        <f t="shared" si="30"/>
        <v>11731</v>
      </c>
      <c r="H123" s="208">
        <f t="shared" si="26"/>
        <v>32.586111111111109</v>
      </c>
      <c r="I123" s="194">
        <f t="shared" si="31"/>
        <v>69799450000</v>
      </c>
      <c r="J123" s="196">
        <v>5950000</v>
      </c>
      <c r="K123" s="186">
        <v>6068405</v>
      </c>
      <c r="L123" s="38"/>
      <c r="M123" s="21"/>
      <c r="N123" s="32">
        <f t="shared" si="32"/>
        <v>468562.5</v>
      </c>
      <c r="O123" s="33">
        <f t="shared" si="33"/>
        <v>7.721345229924502E-2</v>
      </c>
    </row>
    <row r="124" spans="2:15" s="22" customFormat="1" ht="25.5" customHeight="1" x14ac:dyDescent="0.2">
      <c r="B124" s="150" t="s">
        <v>115</v>
      </c>
      <c r="C124" s="148">
        <v>7.875</v>
      </c>
      <c r="D124" s="166">
        <v>45398</v>
      </c>
      <c r="E124" s="166">
        <v>57405</v>
      </c>
      <c r="F124" s="149">
        <v>45504</v>
      </c>
      <c r="G124" s="174">
        <f t="shared" si="30"/>
        <v>11731</v>
      </c>
      <c r="H124" s="208">
        <f t="shared" si="26"/>
        <v>32.586111111111109</v>
      </c>
      <c r="I124" s="194">
        <f t="shared" si="31"/>
        <v>139927954.54999998</v>
      </c>
      <c r="J124" s="196">
        <v>11928.05</v>
      </c>
      <c r="K124" s="186">
        <v>12070.95</v>
      </c>
      <c r="L124" s="38"/>
      <c r="M124" s="21"/>
      <c r="N124" s="32">
        <f t="shared" si="32"/>
        <v>939.33393749999993</v>
      </c>
      <c r="O124" s="33">
        <f t="shared" si="33"/>
        <v>7.7817730791694101E-2</v>
      </c>
    </row>
    <row r="125" spans="2:15" s="22" customFormat="1" ht="24.75" customHeight="1" x14ac:dyDescent="0.2">
      <c r="B125" s="150" t="s">
        <v>116</v>
      </c>
      <c r="C125" s="148">
        <v>7.875</v>
      </c>
      <c r="D125" s="166">
        <v>45412</v>
      </c>
      <c r="E125" s="166">
        <v>57405</v>
      </c>
      <c r="F125" s="149">
        <v>45504</v>
      </c>
      <c r="G125" s="174">
        <f t="shared" si="30"/>
        <v>11731</v>
      </c>
      <c r="H125" s="208">
        <f t="shared" si="26"/>
        <v>32.586111111111109</v>
      </c>
      <c r="I125" s="194">
        <f t="shared" si="31"/>
        <v>11897904092.91</v>
      </c>
      <c r="J125" s="196">
        <v>1014227.61</v>
      </c>
      <c r="K125" s="186">
        <v>997999.97</v>
      </c>
      <c r="L125" s="38"/>
      <c r="M125" s="21"/>
      <c r="N125" s="32">
        <f t="shared" si="32"/>
        <v>79870.424287500005</v>
      </c>
      <c r="O125" s="33">
        <f t="shared" si="33"/>
        <v>8.0030487663742128E-2</v>
      </c>
    </row>
    <row r="126" spans="2:15" s="22" customFormat="1" ht="25.5" customHeight="1" x14ac:dyDescent="0.2">
      <c r="B126" s="150" t="s">
        <v>117</v>
      </c>
      <c r="C126" s="148">
        <v>7.875</v>
      </c>
      <c r="D126" s="166">
        <v>45412</v>
      </c>
      <c r="E126" s="166">
        <v>57405</v>
      </c>
      <c r="F126" s="149">
        <v>45504</v>
      </c>
      <c r="G126" s="174">
        <f t="shared" si="30"/>
        <v>11731</v>
      </c>
      <c r="H126" s="208">
        <f t="shared" si="26"/>
        <v>32.586111111111109</v>
      </c>
      <c r="I126" s="194">
        <f t="shared" si="31"/>
        <v>58655000000</v>
      </c>
      <c r="J126" s="196">
        <v>5000000</v>
      </c>
      <c r="K126" s="186">
        <v>4919750</v>
      </c>
      <c r="L126" s="38"/>
      <c r="M126" s="21"/>
      <c r="N126" s="32">
        <f t="shared" si="32"/>
        <v>393750</v>
      </c>
      <c r="O126" s="33">
        <f t="shared" si="33"/>
        <v>8.0034554601351698E-2</v>
      </c>
    </row>
    <row r="127" spans="2:15" s="22" customFormat="1" ht="24.75" customHeight="1" x14ac:dyDescent="0.2">
      <c r="B127" s="150" t="s">
        <v>118</v>
      </c>
      <c r="C127" s="148">
        <v>7.875</v>
      </c>
      <c r="D127" s="166">
        <v>45412</v>
      </c>
      <c r="E127" s="166">
        <v>57405</v>
      </c>
      <c r="F127" s="149">
        <v>45504</v>
      </c>
      <c r="G127" s="174">
        <f t="shared" si="30"/>
        <v>11731</v>
      </c>
      <c r="H127" s="208">
        <f t="shared" si="26"/>
        <v>32.586111111111109</v>
      </c>
      <c r="I127" s="194">
        <f t="shared" si="31"/>
        <v>58655000000</v>
      </c>
      <c r="J127" s="196">
        <v>5000000</v>
      </c>
      <c r="K127" s="186">
        <v>4925000</v>
      </c>
      <c r="L127" s="38"/>
      <c r="M127" s="21"/>
      <c r="N127" s="32">
        <f t="shared" si="32"/>
        <v>393750</v>
      </c>
      <c r="O127" s="33">
        <f t="shared" si="33"/>
        <v>7.9949238578680207E-2</v>
      </c>
    </row>
    <row r="128" spans="2:15" s="22" customFormat="1" ht="24.75" customHeight="1" x14ac:dyDescent="0.2">
      <c r="B128" s="150" t="s">
        <v>119</v>
      </c>
      <c r="C128" s="148">
        <v>7.875</v>
      </c>
      <c r="D128" s="166">
        <v>45412</v>
      </c>
      <c r="E128" s="166">
        <v>57405</v>
      </c>
      <c r="F128" s="149">
        <v>45504</v>
      </c>
      <c r="G128" s="174">
        <f t="shared" si="30"/>
        <v>11731</v>
      </c>
      <c r="H128" s="208">
        <f t="shared" si="26"/>
        <v>32.586111111111109</v>
      </c>
      <c r="I128" s="194">
        <f t="shared" si="31"/>
        <v>58655000000</v>
      </c>
      <c r="J128" s="196">
        <v>5000000</v>
      </c>
      <c r="K128" s="186">
        <v>4929875</v>
      </c>
      <c r="L128" s="31"/>
      <c r="M128" s="21"/>
      <c r="N128" s="32">
        <f t="shared" si="32"/>
        <v>393750</v>
      </c>
      <c r="O128" s="33">
        <f t="shared" si="33"/>
        <v>7.9870179264180122E-2</v>
      </c>
    </row>
    <row r="129" spans="2:15" s="22" customFormat="1" ht="24.75" customHeight="1" x14ac:dyDescent="0.2">
      <c r="B129" s="150" t="s">
        <v>120</v>
      </c>
      <c r="C129" s="154">
        <v>7.88</v>
      </c>
      <c r="D129" s="166">
        <v>45418</v>
      </c>
      <c r="E129" s="166">
        <v>57405</v>
      </c>
      <c r="F129" s="149">
        <v>45504</v>
      </c>
      <c r="G129" s="174">
        <f t="shared" si="30"/>
        <v>11731</v>
      </c>
      <c r="H129" s="208">
        <f t="shared" si="26"/>
        <v>32.586111111111109</v>
      </c>
      <c r="I129" s="194">
        <f t="shared" si="31"/>
        <v>23462000000</v>
      </c>
      <c r="J129" s="196">
        <v>2000000</v>
      </c>
      <c r="K129" s="186">
        <v>1977600</v>
      </c>
      <c r="L129" s="31"/>
      <c r="M129" s="21"/>
      <c r="N129" s="32">
        <f t="shared" si="32"/>
        <v>157600</v>
      </c>
      <c r="O129" s="33">
        <f t="shared" si="33"/>
        <v>7.9692556634304204E-2</v>
      </c>
    </row>
    <row r="130" spans="2:15" s="22" customFormat="1" ht="24.75" customHeight="1" x14ac:dyDescent="0.2">
      <c r="B130" s="150" t="s">
        <v>121</v>
      </c>
      <c r="C130" s="154">
        <v>7.88</v>
      </c>
      <c r="D130" s="166">
        <v>45418</v>
      </c>
      <c r="E130" s="166">
        <v>57405</v>
      </c>
      <c r="F130" s="149">
        <v>45504</v>
      </c>
      <c r="G130" s="174">
        <f t="shared" si="30"/>
        <v>11731</v>
      </c>
      <c r="H130" s="208">
        <f t="shared" si="26"/>
        <v>32.586111111111109</v>
      </c>
      <c r="I130" s="194">
        <f t="shared" si="31"/>
        <v>23462000000</v>
      </c>
      <c r="J130" s="196">
        <v>2000000</v>
      </c>
      <c r="K130" s="186">
        <v>1977200</v>
      </c>
      <c r="L130" s="31"/>
      <c r="M130" s="21"/>
      <c r="N130" s="32">
        <f t="shared" si="32"/>
        <v>157600</v>
      </c>
      <c r="O130" s="33">
        <f t="shared" si="33"/>
        <v>7.9708678939915026E-2</v>
      </c>
    </row>
    <row r="131" spans="2:15" s="22" customFormat="1" ht="24.75" customHeight="1" x14ac:dyDescent="0.2">
      <c r="B131" s="150" t="s">
        <v>122</v>
      </c>
      <c r="C131" s="154">
        <v>7.88</v>
      </c>
      <c r="D131" s="166">
        <v>45418</v>
      </c>
      <c r="E131" s="166">
        <v>57405</v>
      </c>
      <c r="F131" s="149">
        <v>45504</v>
      </c>
      <c r="G131" s="174">
        <f t="shared" si="30"/>
        <v>11731</v>
      </c>
      <c r="H131" s="208">
        <f t="shared" si="26"/>
        <v>32.586111111111109</v>
      </c>
      <c r="I131" s="194">
        <f t="shared" si="31"/>
        <v>23462000000</v>
      </c>
      <c r="J131" s="196">
        <v>2000000</v>
      </c>
      <c r="K131" s="186">
        <v>1975000</v>
      </c>
      <c r="L131" s="31"/>
      <c r="M131" s="21"/>
      <c r="N131" s="32">
        <f t="shared" si="32"/>
        <v>157600</v>
      </c>
      <c r="O131" s="33">
        <f t="shared" si="33"/>
        <v>7.9797468354430384E-2</v>
      </c>
    </row>
    <row r="132" spans="2:15" s="22" customFormat="1" ht="24.75" customHeight="1" x14ac:dyDescent="0.2">
      <c r="B132" s="150" t="s">
        <v>123</v>
      </c>
      <c r="C132" s="154">
        <v>7.88</v>
      </c>
      <c r="D132" s="166">
        <v>45418</v>
      </c>
      <c r="E132" s="166">
        <v>57405</v>
      </c>
      <c r="F132" s="149">
        <v>45504</v>
      </c>
      <c r="G132" s="174">
        <f t="shared" si="30"/>
        <v>11731</v>
      </c>
      <c r="H132" s="208">
        <f t="shared" si="26"/>
        <v>32.586111111111109</v>
      </c>
      <c r="I132" s="194">
        <f t="shared" si="31"/>
        <v>23462000000</v>
      </c>
      <c r="J132" s="196">
        <v>2000000</v>
      </c>
      <c r="K132" s="186">
        <v>1975000</v>
      </c>
      <c r="L132" s="31"/>
      <c r="M132" s="21"/>
      <c r="N132" s="32">
        <f t="shared" si="32"/>
        <v>157600</v>
      </c>
      <c r="O132" s="33">
        <f t="shared" si="33"/>
        <v>7.9797468354430384E-2</v>
      </c>
    </row>
    <row r="133" spans="2:15" s="22" customFormat="1" ht="24.75" customHeight="1" x14ac:dyDescent="0.2">
      <c r="B133" s="150" t="s">
        <v>124</v>
      </c>
      <c r="C133" s="154">
        <v>7.88</v>
      </c>
      <c r="D133" s="166">
        <v>45419</v>
      </c>
      <c r="E133" s="166">
        <v>57405</v>
      </c>
      <c r="F133" s="149">
        <v>45504</v>
      </c>
      <c r="G133" s="174">
        <f t="shared" si="30"/>
        <v>11731</v>
      </c>
      <c r="H133" s="208">
        <f t="shared" si="26"/>
        <v>32.586111111111109</v>
      </c>
      <c r="I133" s="194">
        <f t="shared" si="31"/>
        <v>58655000000</v>
      </c>
      <c r="J133" s="196">
        <v>5000000</v>
      </c>
      <c r="K133" s="186">
        <v>4912500</v>
      </c>
      <c r="L133" s="31"/>
      <c r="M133" s="21"/>
      <c r="N133" s="32">
        <f t="shared" si="32"/>
        <v>394000</v>
      </c>
      <c r="O133" s="33">
        <f t="shared" si="33"/>
        <v>8.0203562340966927E-2</v>
      </c>
    </row>
    <row r="134" spans="2:15" s="22" customFormat="1" ht="24.75" customHeight="1" x14ac:dyDescent="0.2">
      <c r="B134" s="150" t="s">
        <v>125</v>
      </c>
      <c r="C134" s="154">
        <v>7.88</v>
      </c>
      <c r="D134" s="166">
        <v>45419</v>
      </c>
      <c r="E134" s="166">
        <v>57405</v>
      </c>
      <c r="F134" s="149">
        <v>45504</v>
      </c>
      <c r="G134" s="174">
        <f t="shared" si="30"/>
        <v>11731</v>
      </c>
      <c r="H134" s="208">
        <f t="shared" si="26"/>
        <v>32.586111111111109</v>
      </c>
      <c r="I134" s="194">
        <f t="shared" si="31"/>
        <v>58655000000</v>
      </c>
      <c r="J134" s="196">
        <v>5000000</v>
      </c>
      <c r="K134" s="186">
        <v>4912500</v>
      </c>
      <c r="L134" s="31"/>
      <c r="M134" s="21"/>
      <c r="N134" s="32">
        <f t="shared" si="32"/>
        <v>394000</v>
      </c>
      <c r="O134" s="33">
        <f t="shared" si="33"/>
        <v>8.0203562340966927E-2</v>
      </c>
    </row>
    <row r="135" spans="2:15" s="22" customFormat="1" ht="24.75" customHeight="1" x14ac:dyDescent="0.2">
      <c r="B135" s="150" t="s">
        <v>126</v>
      </c>
      <c r="C135" s="154">
        <v>7.88</v>
      </c>
      <c r="D135" s="166">
        <v>45419</v>
      </c>
      <c r="E135" s="166">
        <v>57405</v>
      </c>
      <c r="F135" s="149">
        <v>45504</v>
      </c>
      <c r="G135" s="174">
        <f t="shared" si="30"/>
        <v>11731</v>
      </c>
      <c r="H135" s="208">
        <f t="shared" si="26"/>
        <v>32.586111111111109</v>
      </c>
      <c r="I135" s="194">
        <f t="shared" si="31"/>
        <v>58655000000</v>
      </c>
      <c r="J135" s="196">
        <v>5000000</v>
      </c>
      <c r="K135" s="186">
        <v>4908500</v>
      </c>
      <c r="L135" s="31"/>
      <c r="M135" s="21"/>
      <c r="N135" s="32">
        <f t="shared" si="32"/>
        <v>394000</v>
      </c>
      <c r="O135" s="33">
        <f t="shared" si="33"/>
        <v>8.0268921259040435E-2</v>
      </c>
    </row>
    <row r="136" spans="2:15" s="22" customFormat="1" ht="27" customHeight="1" x14ac:dyDescent="0.2">
      <c r="B136" s="150" t="s">
        <v>127</v>
      </c>
      <c r="C136" s="154">
        <v>7.88</v>
      </c>
      <c r="D136" s="166">
        <v>45419</v>
      </c>
      <c r="E136" s="166">
        <v>57405</v>
      </c>
      <c r="F136" s="149">
        <v>45504</v>
      </c>
      <c r="G136" s="174">
        <f t="shared" si="30"/>
        <v>11731</v>
      </c>
      <c r="H136" s="208">
        <f t="shared" si="26"/>
        <v>32.586111111111109</v>
      </c>
      <c r="I136" s="194">
        <f t="shared" si="31"/>
        <v>55587513834.119995</v>
      </c>
      <c r="J136" s="196">
        <v>4738514.5199999996</v>
      </c>
      <c r="K136" s="186">
        <v>4653695.1100000003</v>
      </c>
      <c r="L136" s="34"/>
      <c r="M136" s="21"/>
      <c r="N136" s="32">
        <f t="shared" si="32"/>
        <v>373394.94417599996</v>
      </c>
      <c r="O136" s="33">
        <f t="shared" si="33"/>
        <v>8.0236228491556663E-2</v>
      </c>
    </row>
    <row r="137" spans="2:15" s="22" customFormat="1" ht="27" customHeight="1" x14ac:dyDescent="0.2">
      <c r="B137" s="150" t="s">
        <v>128</v>
      </c>
      <c r="C137" s="154">
        <v>7.88</v>
      </c>
      <c r="D137" s="166">
        <v>45478</v>
      </c>
      <c r="E137" s="166">
        <v>57405</v>
      </c>
      <c r="F137" s="149">
        <v>45504</v>
      </c>
      <c r="G137" s="174">
        <f t="shared" si="30"/>
        <v>11731</v>
      </c>
      <c r="H137" s="208">
        <f t="shared" si="26"/>
        <v>32.586111111111109</v>
      </c>
      <c r="I137" s="194">
        <f t="shared" si="31"/>
        <v>23462000000</v>
      </c>
      <c r="J137" s="196">
        <v>2000000</v>
      </c>
      <c r="K137" s="186">
        <v>2061800</v>
      </c>
      <c r="L137" s="34"/>
      <c r="M137" s="21"/>
      <c r="N137" s="32">
        <f t="shared" si="32"/>
        <v>157600</v>
      </c>
      <c r="O137" s="33">
        <f t="shared" si="33"/>
        <v>7.6438063827723349E-2</v>
      </c>
    </row>
    <row r="138" spans="2:15" s="22" customFormat="1" ht="27" customHeight="1" x14ac:dyDescent="0.2">
      <c r="B138" s="150" t="s">
        <v>128</v>
      </c>
      <c r="C138" s="154">
        <v>7.88</v>
      </c>
      <c r="D138" s="166">
        <v>45478</v>
      </c>
      <c r="E138" s="166">
        <v>57405</v>
      </c>
      <c r="F138" s="149">
        <v>45504</v>
      </c>
      <c r="G138" s="174">
        <f t="shared" si="30"/>
        <v>11731</v>
      </c>
      <c r="H138" s="208">
        <f t="shared" si="26"/>
        <v>32.586111111111109</v>
      </c>
      <c r="I138" s="194">
        <f t="shared" si="31"/>
        <v>23462000000</v>
      </c>
      <c r="J138" s="196">
        <v>2000000</v>
      </c>
      <c r="K138" s="186">
        <v>2067800</v>
      </c>
      <c r="L138" s="34"/>
      <c r="M138" s="21"/>
      <c r="N138" s="32">
        <f t="shared" si="32"/>
        <v>157600</v>
      </c>
      <c r="O138" s="33">
        <f t="shared" si="33"/>
        <v>7.62162684979205E-2</v>
      </c>
    </row>
    <row r="139" spans="2:15" s="22" customFormat="1" ht="27" customHeight="1" x14ac:dyDescent="0.2">
      <c r="B139" s="150"/>
      <c r="C139" s="154"/>
      <c r="D139" s="166"/>
      <c r="E139" s="166"/>
      <c r="F139" s="149"/>
      <c r="G139" s="174"/>
      <c r="H139" s="208"/>
      <c r="I139" s="168"/>
      <c r="J139" s="196"/>
      <c r="K139" s="186"/>
      <c r="L139" s="34"/>
      <c r="M139" s="21"/>
      <c r="N139" s="32"/>
      <c r="O139" s="33"/>
    </row>
    <row r="140" spans="2:15" s="22" customFormat="1" ht="21" customHeight="1" x14ac:dyDescent="0.2">
      <c r="B140" s="144" t="s">
        <v>129</v>
      </c>
      <c r="C140" s="145"/>
      <c r="D140" s="165"/>
      <c r="E140" s="165"/>
      <c r="F140" s="146"/>
      <c r="G140" s="173">
        <f>+I140/J140</f>
        <v>12953</v>
      </c>
      <c r="H140" s="207">
        <f>+G140/360</f>
        <v>35.980555555555554</v>
      </c>
      <c r="I140" s="189">
        <f>SUM(I141)</f>
        <v>842205945050.08997</v>
      </c>
      <c r="J140" s="218">
        <f>SUM(J141)</f>
        <v>65020145.530000001</v>
      </c>
      <c r="K140" s="184">
        <f>SUM(K141)</f>
        <v>71776388.849999994</v>
      </c>
      <c r="L140" s="31"/>
      <c r="M140" s="21"/>
      <c r="N140" s="27">
        <f>SUM(N141)</f>
        <v>2516279.6320110001</v>
      </c>
    </row>
    <row r="141" spans="2:15" s="22" customFormat="1" ht="25.5" customHeight="1" x14ac:dyDescent="0.2">
      <c r="B141" s="150" t="s">
        <v>130</v>
      </c>
      <c r="C141" s="148">
        <v>3.87</v>
      </c>
      <c r="D141" s="166">
        <v>44223</v>
      </c>
      <c r="E141" s="166">
        <v>58645</v>
      </c>
      <c r="F141" s="149">
        <v>45504</v>
      </c>
      <c r="G141" s="174">
        <f t="shared" ref="G141" si="34">DAYS360(F141,E141)</f>
        <v>12953</v>
      </c>
      <c r="H141" s="208">
        <f t="shared" si="26"/>
        <v>35.980555555555554</v>
      </c>
      <c r="I141" s="194">
        <f t="shared" ref="I141" si="35">+G141*J141</f>
        <v>842205945050.08997</v>
      </c>
      <c r="J141" s="196">
        <v>65020145.530000001</v>
      </c>
      <c r="K141" s="183">
        <v>71776388.849999994</v>
      </c>
      <c r="L141" s="31"/>
      <c r="M141" s="21"/>
      <c r="N141" s="32">
        <f>+J141*C141/100</f>
        <v>2516279.6320110001</v>
      </c>
      <c r="O141" s="33">
        <f t="shared" ref="O141" si="36">+N141/K141</f>
        <v>3.505720575145653E-2</v>
      </c>
    </row>
    <row r="142" spans="2:15" s="22" customFormat="1" ht="25.5" customHeight="1" x14ac:dyDescent="0.2">
      <c r="B142" s="150"/>
      <c r="C142" s="148"/>
      <c r="D142" s="166"/>
      <c r="E142" s="166"/>
      <c r="F142" s="149"/>
      <c r="G142" s="174"/>
      <c r="H142" s="208"/>
      <c r="I142" s="168"/>
      <c r="J142" s="196"/>
      <c r="K142" s="183"/>
      <c r="L142" s="31"/>
      <c r="M142" s="21"/>
      <c r="N142" s="32"/>
      <c r="O142" s="33"/>
    </row>
    <row r="143" spans="2:15" ht="20.25" customHeight="1" x14ac:dyDescent="0.2">
      <c r="B143" s="144" t="s">
        <v>131</v>
      </c>
      <c r="C143" s="145"/>
      <c r="D143" s="165"/>
      <c r="E143" s="165"/>
      <c r="F143" s="146"/>
      <c r="G143" s="173">
        <f>+I143/J143</f>
        <v>12953</v>
      </c>
      <c r="H143" s="207">
        <f>+G143/360</f>
        <v>35.980555555555554</v>
      </c>
      <c r="I143" s="189">
        <f>SUM(I144:I145)</f>
        <v>161912500000</v>
      </c>
      <c r="J143" s="218">
        <f>SUM(J144:J145)</f>
        <v>12500000</v>
      </c>
      <c r="K143" s="184">
        <f>SUM(K144:K145)</f>
        <v>8081750</v>
      </c>
      <c r="L143" s="39"/>
      <c r="M143" s="19"/>
      <c r="N143" s="27">
        <f>SUM(N144:N145)</f>
        <v>562500</v>
      </c>
    </row>
    <row r="144" spans="2:15" ht="25.5" customHeight="1" x14ac:dyDescent="0.2">
      <c r="B144" s="150" t="s">
        <v>132</v>
      </c>
      <c r="C144" s="148">
        <v>4.5</v>
      </c>
      <c r="D144" s="166">
        <v>44223</v>
      </c>
      <c r="E144" s="166">
        <v>58645</v>
      </c>
      <c r="F144" s="149">
        <v>45504</v>
      </c>
      <c r="G144" s="174">
        <f t="shared" ref="G144:G145" si="37">DAYS360(F144,E144)</f>
        <v>12953</v>
      </c>
      <c r="H144" s="208">
        <f t="shared" si="26"/>
        <v>35.980555555555554</v>
      </c>
      <c r="I144" s="194">
        <f t="shared" ref="I144:I145" si="38">+G144*J144</f>
        <v>32382500000</v>
      </c>
      <c r="J144" s="196">
        <v>2500000</v>
      </c>
      <c r="K144" s="183">
        <v>1823750</v>
      </c>
      <c r="L144" s="39"/>
      <c r="M144" s="19"/>
      <c r="N144" s="32">
        <f>+J144*C144/100</f>
        <v>112500</v>
      </c>
      <c r="O144" s="33">
        <f t="shared" ref="O144:O145" si="39">+N144/K144</f>
        <v>6.1686086360520906E-2</v>
      </c>
    </row>
    <row r="145" spans="2:15" ht="28.5" customHeight="1" x14ac:dyDescent="0.2">
      <c r="B145" s="150" t="s">
        <v>133</v>
      </c>
      <c r="C145" s="148">
        <v>4.5</v>
      </c>
      <c r="D145" s="166">
        <v>45257</v>
      </c>
      <c r="E145" s="166">
        <v>58645</v>
      </c>
      <c r="F145" s="149">
        <v>45504</v>
      </c>
      <c r="G145" s="174">
        <f t="shared" si="37"/>
        <v>12953</v>
      </c>
      <c r="H145" s="208">
        <f t="shared" si="26"/>
        <v>35.980555555555554</v>
      </c>
      <c r="I145" s="194">
        <f t="shared" si="38"/>
        <v>129530000000</v>
      </c>
      <c r="J145" s="196">
        <v>10000000</v>
      </c>
      <c r="K145" s="183">
        <v>6258000</v>
      </c>
      <c r="L145" s="39"/>
      <c r="M145" s="19"/>
      <c r="N145" s="32">
        <f>+J145*C145/100</f>
        <v>450000</v>
      </c>
      <c r="O145" s="33">
        <f t="shared" si="39"/>
        <v>7.1907957813998086E-2</v>
      </c>
    </row>
    <row r="146" spans="2:15" ht="28.5" customHeight="1" x14ac:dyDescent="0.2">
      <c r="B146" s="150"/>
      <c r="C146" s="151"/>
      <c r="D146" s="166"/>
      <c r="E146" s="166"/>
      <c r="F146" s="155"/>
      <c r="G146" s="155"/>
      <c r="H146" s="209"/>
      <c r="I146" s="200"/>
      <c r="J146" s="196"/>
      <c r="K146" s="183"/>
      <c r="L146" s="39"/>
      <c r="M146" s="19"/>
      <c r="N146" s="32"/>
      <c r="O146" s="33"/>
    </row>
    <row r="147" spans="2:15" s="22" customFormat="1" ht="21.75" customHeight="1" x14ac:dyDescent="0.2">
      <c r="B147" s="144" t="s">
        <v>134</v>
      </c>
      <c r="C147" s="151"/>
      <c r="D147" s="166"/>
      <c r="E147" s="166"/>
      <c r="F147" s="149"/>
      <c r="G147" s="173">
        <f>+I147/J147</f>
        <v>3023.7940220811465</v>
      </c>
      <c r="H147" s="207">
        <f>+G147/360</f>
        <v>8.3994278391142956</v>
      </c>
      <c r="I147" s="191">
        <f>SUM(I149+I151+I154)</f>
        <v>1157296441899.75</v>
      </c>
      <c r="J147" s="191">
        <f>SUM(J149+J151+J154)</f>
        <v>382729919.25</v>
      </c>
      <c r="K147" s="182">
        <f>SUM(K149+K151+K154)</f>
        <v>382714589.25</v>
      </c>
      <c r="L147" s="40"/>
      <c r="M147" s="26"/>
      <c r="N147" s="41">
        <f>SUM(N149+N151+N154)</f>
        <v>16820226.4575</v>
      </c>
      <c r="O147" s="25">
        <f t="shared" ref="O147:O150" si="40">+N147/K147</f>
        <v>4.3949791646203884E-2</v>
      </c>
    </row>
    <row r="148" spans="2:15" s="22" customFormat="1" ht="21.75" customHeight="1" x14ac:dyDescent="0.2">
      <c r="B148" s="144"/>
      <c r="C148" s="151"/>
      <c r="D148" s="166"/>
      <c r="E148" s="166"/>
      <c r="F148" s="149"/>
      <c r="G148" s="175"/>
      <c r="H148" s="209"/>
      <c r="I148" s="168"/>
      <c r="J148" s="191"/>
      <c r="K148" s="182"/>
      <c r="L148" s="40"/>
      <c r="M148" s="26"/>
      <c r="N148" s="41"/>
      <c r="O148" s="25"/>
    </row>
    <row r="149" spans="2:15" s="22" customFormat="1" ht="25.5" customHeight="1" x14ac:dyDescent="0.2">
      <c r="B149" s="144" t="s">
        <v>135</v>
      </c>
      <c r="C149" s="156"/>
      <c r="D149" s="165"/>
      <c r="E149" s="165"/>
      <c r="F149" s="146"/>
      <c r="G149" s="173">
        <f>+I149/J149</f>
        <v>1947</v>
      </c>
      <c r="H149" s="207">
        <f>+G149/360</f>
        <v>5.4083333333333332</v>
      </c>
      <c r="I149" s="189">
        <f>SUM(I150)</f>
        <v>171719323899.75</v>
      </c>
      <c r="J149" s="218">
        <f>SUM(J150)</f>
        <v>88196879.25</v>
      </c>
      <c r="K149" s="184">
        <f>SUM(K150)</f>
        <v>88196879.25</v>
      </c>
      <c r="L149" s="31"/>
      <c r="M149" s="21"/>
      <c r="N149" s="27">
        <f>SUM(N150)</f>
        <v>2645906.3774999999</v>
      </c>
    </row>
    <row r="150" spans="2:15" s="22" customFormat="1" ht="56.25" customHeight="1" x14ac:dyDescent="0.2">
      <c r="B150" s="157" t="s">
        <v>136</v>
      </c>
      <c r="C150" s="148">
        <v>3</v>
      </c>
      <c r="D150" s="166">
        <v>44260</v>
      </c>
      <c r="E150" s="166">
        <v>47479</v>
      </c>
      <c r="F150" s="149">
        <v>45504</v>
      </c>
      <c r="G150" s="174">
        <f t="shared" ref="G150" si="41">DAYS360(F150,E150)</f>
        <v>1947</v>
      </c>
      <c r="H150" s="208">
        <f t="shared" ref="H150" si="42">+G150/360</f>
        <v>5.4083333333333332</v>
      </c>
      <c r="I150" s="194">
        <f t="shared" ref="I150" si="43">+G150*J150</f>
        <v>171719323899.75</v>
      </c>
      <c r="J150" s="196">
        <v>88196879.25</v>
      </c>
      <c r="K150" s="186">
        <v>88196879.25</v>
      </c>
      <c r="L150" s="31"/>
      <c r="M150" s="21"/>
      <c r="N150" s="32">
        <f>+J150*C150/100</f>
        <v>2645906.3774999999</v>
      </c>
      <c r="O150" s="33">
        <f t="shared" si="40"/>
        <v>0.03</v>
      </c>
    </row>
    <row r="151" spans="2:15" s="22" customFormat="1" ht="25.5" customHeight="1" x14ac:dyDescent="0.2">
      <c r="B151" s="144" t="s">
        <v>137</v>
      </c>
      <c r="C151" s="156"/>
      <c r="D151" s="165"/>
      <c r="E151" s="165"/>
      <c r="F151" s="146"/>
      <c r="G151" s="173">
        <f>+I151/J151</f>
        <v>2490</v>
      </c>
      <c r="H151" s="207">
        <f>+G151/360</f>
        <v>6.916666666666667</v>
      </c>
      <c r="I151" s="189">
        <f>SUM(I152:I153)</f>
        <v>154629000000</v>
      </c>
      <c r="J151" s="218">
        <f>SUM(J152:J153)</f>
        <v>62100000</v>
      </c>
      <c r="K151" s="184">
        <f>SUM(K152:K153)</f>
        <v>62084670</v>
      </c>
      <c r="L151" s="31"/>
      <c r="M151" s="21"/>
      <c r="N151" s="27">
        <f>SUM(N152:N153)</f>
        <v>2087802</v>
      </c>
    </row>
    <row r="152" spans="2:15" s="22" customFormat="1" ht="25.5" customHeight="1" x14ac:dyDescent="0.2">
      <c r="B152" s="153" t="s">
        <v>138</v>
      </c>
      <c r="C152" s="158">
        <v>3.3620000000000001</v>
      </c>
      <c r="D152" s="166">
        <v>44377</v>
      </c>
      <c r="E152" s="166">
        <v>48029</v>
      </c>
      <c r="F152" s="149">
        <v>45504</v>
      </c>
      <c r="G152" s="174">
        <f t="shared" ref="G152:G153" si="44">DAYS360(F152,E152)</f>
        <v>2490</v>
      </c>
      <c r="H152" s="208">
        <f t="shared" ref="H152:H153" si="45">+G152/360</f>
        <v>6.916666666666667</v>
      </c>
      <c r="I152" s="194">
        <f t="shared" ref="I152:I153" si="46">+G152*J152</f>
        <v>149400000000</v>
      </c>
      <c r="J152" s="220">
        <v>60000000</v>
      </c>
      <c r="K152" s="221">
        <v>60000000</v>
      </c>
      <c r="L152" s="31"/>
      <c r="M152" s="21"/>
      <c r="N152" s="32">
        <f>+J152*C152/100</f>
        <v>2017200</v>
      </c>
      <c r="O152" s="33">
        <f t="shared" ref="O152:O153" si="47">+N152/K152</f>
        <v>3.3619999999999997E-2</v>
      </c>
    </row>
    <row r="153" spans="2:15" s="22" customFormat="1" ht="28.5" customHeight="1" x14ac:dyDescent="0.2">
      <c r="B153" s="153" t="s">
        <v>138</v>
      </c>
      <c r="C153" s="158">
        <v>3.3620000000000001</v>
      </c>
      <c r="D153" s="166">
        <v>44377</v>
      </c>
      <c r="E153" s="166">
        <v>48029</v>
      </c>
      <c r="F153" s="149">
        <v>45504</v>
      </c>
      <c r="G153" s="174">
        <f t="shared" si="44"/>
        <v>2490</v>
      </c>
      <c r="H153" s="208">
        <f t="shared" si="45"/>
        <v>6.916666666666667</v>
      </c>
      <c r="I153" s="194">
        <f t="shared" si="46"/>
        <v>5229000000</v>
      </c>
      <c r="J153" s="220">
        <v>2100000</v>
      </c>
      <c r="K153" s="221">
        <v>2084670</v>
      </c>
      <c r="L153" s="31"/>
      <c r="M153" s="21"/>
      <c r="N153" s="32">
        <f>+J153*C153/100</f>
        <v>70602</v>
      </c>
      <c r="O153" s="33">
        <f t="shared" si="47"/>
        <v>3.3867230784728516E-2</v>
      </c>
    </row>
    <row r="154" spans="2:15" s="22" customFormat="1" ht="24" customHeight="1" x14ac:dyDescent="0.2">
      <c r="B154" s="144" t="s">
        <v>139</v>
      </c>
      <c r="C154" s="156"/>
      <c r="D154" s="165"/>
      <c r="E154" s="165"/>
      <c r="F154" s="146"/>
      <c r="G154" s="173">
        <f>+I154/J154</f>
        <v>3575</v>
      </c>
      <c r="H154" s="207">
        <f>+G154/360</f>
        <v>9.9305555555555554</v>
      </c>
      <c r="I154" s="189">
        <f>SUM(I155:I156)</f>
        <v>830948118000</v>
      </c>
      <c r="J154" s="218">
        <f>SUM(J155:J156)</f>
        <v>232433040</v>
      </c>
      <c r="K154" s="184">
        <f>SUM(K155:K156)</f>
        <v>232433040</v>
      </c>
      <c r="L154" s="31"/>
      <c r="M154" s="21"/>
      <c r="N154" s="27">
        <f>SUM(N155:N156)</f>
        <v>12086518.08</v>
      </c>
    </row>
    <row r="155" spans="2:15" s="22" customFormat="1" ht="24" customHeight="1" x14ac:dyDescent="0.2">
      <c r="B155" s="153" t="s">
        <v>140</v>
      </c>
      <c r="C155" s="158">
        <v>5.2</v>
      </c>
      <c r="D155" s="166">
        <v>44747</v>
      </c>
      <c r="E155" s="166">
        <v>49130</v>
      </c>
      <c r="F155" s="149">
        <v>45504</v>
      </c>
      <c r="G155" s="174">
        <f t="shared" ref="G155:G156" si="48">DAYS360(F155,E155)</f>
        <v>3575</v>
      </c>
      <c r="H155" s="208">
        <f t="shared" ref="H155:H156" si="49">+G155/360</f>
        <v>9.9305555555555554</v>
      </c>
      <c r="I155" s="194">
        <f t="shared" ref="I155:I156" si="50">+G155*J155</f>
        <v>828368541000</v>
      </c>
      <c r="J155" s="220">
        <v>231711480</v>
      </c>
      <c r="K155" s="221">
        <v>231711480</v>
      </c>
      <c r="L155" s="31"/>
      <c r="M155" s="21"/>
      <c r="N155" s="32">
        <f>+J155*C155/100</f>
        <v>12048996.960000001</v>
      </c>
      <c r="O155" s="33">
        <f t="shared" ref="O155:O156" si="51">+N155/K155</f>
        <v>5.2000000000000005E-2</v>
      </c>
    </row>
    <row r="156" spans="2:15" s="22" customFormat="1" ht="24" customHeight="1" x14ac:dyDescent="0.2">
      <c r="B156" s="153" t="s">
        <v>141</v>
      </c>
      <c r="C156" s="158">
        <v>5.2</v>
      </c>
      <c r="D156" s="166">
        <v>44747</v>
      </c>
      <c r="E156" s="166">
        <v>49130</v>
      </c>
      <c r="F156" s="149">
        <v>45504</v>
      </c>
      <c r="G156" s="174">
        <f t="shared" si="48"/>
        <v>3575</v>
      </c>
      <c r="H156" s="208">
        <f t="shared" si="49"/>
        <v>9.9305555555555554</v>
      </c>
      <c r="I156" s="194">
        <f t="shared" si="50"/>
        <v>2579577000</v>
      </c>
      <c r="J156" s="220">
        <v>721560</v>
      </c>
      <c r="K156" s="221">
        <v>721560</v>
      </c>
      <c r="L156" s="31"/>
      <c r="M156" s="21"/>
      <c r="N156" s="32">
        <f>+J156*C156/100</f>
        <v>37521.120000000003</v>
      </c>
      <c r="O156" s="33">
        <f t="shared" si="51"/>
        <v>5.2000000000000005E-2</v>
      </c>
    </row>
    <row r="157" spans="2:15" s="22" customFormat="1" ht="24" customHeight="1" x14ac:dyDescent="0.2">
      <c r="B157" s="153"/>
      <c r="C157" s="158"/>
      <c r="D157" s="166"/>
      <c r="E157" s="166"/>
      <c r="F157" s="149"/>
      <c r="G157" s="175"/>
      <c r="H157" s="209"/>
      <c r="I157" s="168"/>
      <c r="J157" s="220"/>
      <c r="K157" s="221"/>
      <c r="L157" s="31"/>
      <c r="M157" s="21"/>
    </row>
    <row r="158" spans="2:15" s="22" customFormat="1" ht="21" customHeight="1" x14ac:dyDescent="0.2">
      <c r="B158" s="144" t="s">
        <v>142</v>
      </c>
      <c r="C158" s="158"/>
      <c r="D158" s="166"/>
      <c r="E158" s="166"/>
      <c r="F158" s="149"/>
      <c r="G158" s="173">
        <f>+I158/J158</f>
        <v>617</v>
      </c>
      <c r="H158" s="207">
        <f>+G158/360</f>
        <v>1.7138888888888888</v>
      </c>
      <c r="I158" s="193">
        <f>SUM(I159)</f>
        <v>24762200170.52</v>
      </c>
      <c r="J158" s="222">
        <f>SUM(J159)</f>
        <v>40133225.560000002</v>
      </c>
      <c r="K158" s="223">
        <f>SUM(K159)</f>
        <v>40071821.729999997</v>
      </c>
      <c r="L158" s="31"/>
      <c r="M158" s="21"/>
    </row>
    <row r="159" spans="2:15" s="22" customFormat="1" ht="25.5" customHeight="1" x14ac:dyDescent="0.2">
      <c r="B159" s="144" t="s">
        <v>143</v>
      </c>
      <c r="C159" s="151">
        <v>3.75</v>
      </c>
      <c r="D159" s="166">
        <v>44785</v>
      </c>
      <c r="E159" s="166">
        <v>46129</v>
      </c>
      <c r="F159" s="149">
        <v>45504</v>
      </c>
      <c r="G159" s="174">
        <f t="shared" ref="G159" si="52">DAYS360(F159,E159)</f>
        <v>617</v>
      </c>
      <c r="H159" s="208">
        <f t="shared" ref="H159" si="53">+G159/360</f>
        <v>1.7138888888888888</v>
      </c>
      <c r="I159" s="194">
        <f t="shared" ref="I159" si="54">+G159*J159</f>
        <v>24762200170.52</v>
      </c>
      <c r="J159" s="224">
        <f>SUM(J160)</f>
        <v>40133225.560000002</v>
      </c>
      <c r="K159" s="183">
        <f>SUM(K160)</f>
        <v>40071821.729999997</v>
      </c>
      <c r="L159" s="26"/>
      <c r="M159" s="26"/>
      <c r="N159" s="42">
        <f>+J159*C159/100</f>
        <v>1504995.9585000002</v>
      </c>
      <c r="O159" s="43">
        <f t="shared" ref="O159" si="55">+N159/K159</f>
        <v>3.7557462913478584E-2</v>
      </c>
    </row>
    <row r="160" spans="2:15" s="22" customFormat="1" ht="22.5" hidden="1" customHeight="1" x14ac:dyDescent="0.2">
      <c r="B160" s="153" t="s">
        <v>144</v>
      </c>
      <c r="C160" s="151">
        <v>3.75</v>
      </c>
      <c r="D160" s="166">
        <v>43572</v>
      </c>
      <c r="E160" s="166">
        <v>46129</v>
      </c>
      <c r="F160" s="149"/>
      <c r="G160" s="175"/>
      <c r="H160" s="209"/>
      <c r="I160" s="168"/>
      <c r="J160" s="196">
        <v>40133225.560000002</v>
      </c>
      <c r="K160" s="183">
        <v>40071821.729999997</v>
      </c>
      <c r="L160" s="26"/>
      <c r="M160" s="26"/>
      <c r="N160" s="44"/>
      <c r="O160" s="44"/>
    </row>
    <row r="161" spans="2:15" s="22" customFormat="1" ht="25.5" hidden="1" customHeight="1" x14ac:dyDescent="0.2">
      <c r="B161" s="144" t="s">
        <v>145</v>
      </c>
      <c r="C161" s="159"/>
      <c r="D161" s="167"/>
      <c r="E161" s="167"/>
      <c r="F161" s="152"/>
      <c r="G161" s="176"/>
      <c r="H161" s="210"/>
      <c r="I161" s="168"/>
      <c r="J161" s="218">
        <f>SUM(J162:J162)</f>
        <v>0</v>
      </c>
      <c r="K161" s="184">
        <f>SUM(K162:K162)</f>
        <v>0</v>
      </c>
      <c r="L161" s="26"/>
      <c r="M161" s="26"/>
      <c r="N161" s="44"/>
      <c r="O161" s="44"/>
    </row>
    <row r="162" spans="2:15" s="22" customFormat="1" ht="23.25" customHeight="1" x14ac:dyDescent="0.2">
      <c r="B162" s="153" t="s">
        <v>146</v>
      </c>
      <c r="C162" s="151"/>
      <c r="D162" s="168"/>
      <c r="E162" s="168"/>
      <c r="F162" s="134"/>
      <c r="G162" s="134"/>
      <c r="H162" s="211"/>
      <c r="I162" s="194"/>
      <c r="J162" s="196"/>
      <c r="K162" s="183"/>
      <c r="L162" s="26"/>
      <c r="M162" s="26"/>
      <c r="N162" s="44"/>
      <c r="O162" s="44"/>
    </row>
    <row r="163" spans="2:15" s="22" customFormat="1" ht="12.75" customHeight="1" x14ac:dyDescent="0.2">
      <c r="B163" s="153"/>
      <c r="C163" s="151"/>
      <c r="D163" s="166"/>
      <c r="E163" s="166"/>
      <c r="F163" s="149"/>
      <c r="G163" s="174"/>
      <c r="H163" s="208"/>
      <c r="I163" s="194"/>
      <c r="J163" s="196"/>
      <c r="K163" s="183"/>
      <c r="L163" s="26"/>
      <c r="M163" s="26"/>
      <c r="N163" s="44"/>
      <c r="O163" s="44"/>
    </row>
    <row r="164" spans="2:15" s="22" customFormat="1" ht="21.75" customHeight="1" x14ac:dyDescent="0.2">
      <c r="B164" s="163" t="s">
        <v>147</v>
      </c>
      <c r="C164" s="145"/>
      <c r="D164" s="169"/>
      <c r="E164" s="169"/>
      <c r="F164" s="160"/>
      <c r="G164" s="173">
        <f>+I164/J164</f>
        <v>2345.6087118482683</v>
      </c>
      <c r="H164" s="207">
        <f>+G164/360</f>
        <v>6.5155797551340786</v>
      </c>
      <c r="I164" s="195">
        <f>SUM(I166:I169)</f>
        <v>485453877335.45996</v>
      </c>
      <c r="J164" s="197">
        <f>SUM(J166:J169)</f>
        <v>206962855.69</v>
      </c>
      <c r="K164" s="185">
        <f>SUM(K166:K169)</f>
        <v>206962855.69</v>
      </c>
      <c r="L164" s="26"/>
      <c r="M164" s="26"/>
      <c r="N164" s="44"/>
      <c r="O164" s="44"/>
    </row>
    <row r="165" spans="2:15" s="22" customFormat="1" ht="36.75" customHeight="1" x14ac:dyDescent="0.2">
      <c r="B165" s="239" t="s">
        <v>322</v>
      </c>
      <c r="C165" s="145"/>
      <c r="D165" s="169"/>
      <c r="E165" s="169"/>
      <c r="F165" s="160"/>
      <c r="G165" s="173"/>
      <c r="H165" s="207"/>
      <c r="I165" s="195"/>
      <c r="J165" s="197"/>
      <c r="K165" s="185"/>
      <c r="L165" s="26"/>
      <c r="M165" s="26"/>
      <c r="N165" s="44"/>
      <c r="O165" s="44"/>
    </row>
    <row r="166" spans="2:15" s="22" customFormat="1" ht="36.75" customHeight="1" x14ac:dyDescent="0.2">
      <c r="B166" s="161" t="s">
        <v>148</v>
      </c>
      <c r="C166" s="151">
        <v>3</v>
      </c>
      <c r="D166" s="166">
        <v>43712</v>
      </c>
      <c r="E166" s="166">
        <v>47365</v>
      </c>
      <c r="F166" s="149">
        <v>45504</v>
      </c>
      <c r="G166" s="174">
        <f t="shared" ref="G166" si="56">DAYS360(F166,E166)</f>
        <v>1834</v>
      </c>
      <c r="H166" s="208">
        <f t="shared" ref="H166" si="57">+G166/360</f>
        <v>5.0944444444444441</v>
      </c>
      <c r="I166" s="194">
        <f t="shared" ref="I166" si="58">+G166*J166</f>
        <v>80627877335.459991</v>
      </c>
      <c r="J166" s="196">
        <v>43962855.689999998</v>
      </c>
      <c r="K166" s="186">
        <v>43962855.689999998</v>
      </c>
      <c r="L166" s="26"/>
      <c r="M166" s="26"/>
      <c r="N166" s="42">
        <f>+J166*C166/100</f>
        <v>1318885.6706999999</v>
      </c>
      <c r="O166" s="43">
        <f t="shared" ref="O166:O169" si="59">+N166/K166</f>
        <v>0.03</v>
      </c>
    </row>
    <row r="167" spans="2:15" s="22" customFormat="1" ht="36.75" customHeight="1" x14ac:dyDescent="0.2">
      <c r="B167" s="239" t="s">
        <v>321</v>
      </c>
      <c r="C167" s="151"/>
      <c r="D167" s="166"/>
      <c r="E167" s="166"/>
      <c r="F167" s="149"/>
      <c r="G167" s="173">
        <f>+I167/J167</f>
        <v>2483.59509202454</v>
      </c>
      <c r="H167" s="207">
        <f>+G167/360</f>
        <v>6.8988752556237225</v>
      </c>
      <c r="I167" s="195">
        <f>SUM(I168:I169)</f>
        <v>202413000000</v>
      </c>
      <c r="J167" s="197">
        <f>SUM(J168:J169)</f>
        <v>81500000</v>
      </c>
      <c r="K167" s="185">
        <f>SUM(K168:K169)</f>
        <v>81500000</v>
      </c>
      <c r="L167" s="26"/>
      <c r="M167" s="26"/>
      <c r="N167" s="42">
        <f>SUM(N168:N169)</f>
        <v>2894750</v>
      </c>
      <c r="O167" s="43">
        <f t="shared" si="59"/>
        <v>3.5518404907975462E-2</v>
      </c>
    </row>
    <row r="168" spans="2:15" s="22" customFormat="1" ht="36.75" customHeight="1" x14ac:dyDescent="0.2">
      <c r="B168" s="161" t="s">
        <v>149</v>
      </c>
      <c r="C168" s="151">
        <v>3.25</v>
      </c>
      <c r="D168" s="166" t="s">
        <v>150</v>
      </c>
      <c r="E168" s="166">
        <v>47467</v>
      </c>
      <c r="F168" s="149">
        <v>45504</v>
      </c>
      <c r="G168" s="174">
        <f t="shared" ref="G168:G169" si="60">DAYS360(F168,E168)</f>
        <v>1935</v>
      </c>
      <c r="H168" s="208">
        <f t="shared" ref="H168:H169" si="61">+G168/360</f>
        <v>5.375</v>
      </c>
      <c r="I168" s="194">
        <f t="shared" ref="I168:I169" si="62">+G168*J168</f>
        <v>38700000000</v>
      </c>
      <c r="J168" s="196">
        <v>20000000</v>
      </c>
      <c r="K168" s="186">
        <v>20000000</v>
      </c>
      <c r="L168" s="26"/>
      <c r="M168" s="26"/>
      <c r="N168" s="42">
        <f>+J168*C168/100</f>
        <v>650000</v>
      </c>
      <c r="O168" s="43">
        <f t="shared" si="59"/>
        <v>3.2500000000000001E-2</v>
      </c>
    </row>
    <row r="169" spans="2:15" s="22" customFormat="1" ht="39" customHeight="1" x14ac:dyDescent="0.2">
      <c r="B169" s="161" t="s">
        <v>151</v>
      </c>
      <c r="C169" s="151">
        <v>3.65</v>
      </c>
      <c r="D169" s="166" t="s">
        <v>152</v>
      </c>
      <c r="E169" s="166">
        <v>48204</v>
      </c>
      <c r="F169" s="149">
        <v>45504</v>
      </c>
      <c r="G169" s="174">
        <f t="shared" si="60"/>
        <v>2662</v>
      </c>
      <c r="H169" s="208">
        <f t="shared" si="61"/>
        <v>7.3944444444444448</v>
      </c>
      <c r="I169" s="194">
        <f t="shared" si="62"/>
        <v>163713000000</v>
      </c>
      <c r="J169" s="196">
        <v>61500000</v>
      </c>
      <c r="K169" s="186">
        <v>61500000</v>
      </c>
      <c r="L169" s="46">
        <f>SUM(L171:L174)</f>
        <v>0</v>
      </c>
      <c r="M169" s="26"/>
      <c r="N169" s="42">
        <f>+J169*C169/100</f>
        <v>2244750</v>
      </c>
      <c r="O169" s="43">
        <f t="shared" si="59"/>
        <v>3.6499999999999998E-2</v>
      </c>
    </row>
    <row r="170" spans="2:15" s="22" customFormat="1" ht="17.25" customHeight="1" x14ac:dyDescent="0.2">
      <c r="B170" s="161"/>
      <c r="C170" s="151"/>
      <c r="D170" s="166"/>
      <c r="E170" s="166"/>
      <c r="F170" s="149"/>
      <c r="G170" s="174"/>
      <c r="H170" s="208"/>
      <c r="I170" s="194"/>
      <c r="J170" s="196"/>
      <c r="K170" s="186"/>
      <c r="L170" s="47"/>
      <c r="M170" s="26"/>
      <c r="N170" s="42"/>
      <c r="O170" s="43"/>
    </row>
    <row r="171" spans="2:15" s="22" customFormat="1" ht="22.5" customHeight="1" x14ac:dyDescent="0.2">
      <c r="B171" s="163" t="s">
        <v>153</v>
      </c>
      <c r="C171" s="142"/>
      <c r="D171" s="165"/>
      <c r="E171" s="165"/>
      <c r="F171" s="146"/>
      <c r="G171" s="173">
        <f>+I171/J171</f>
        <v>869.22245561361478</v>
      </c>
      <c r="H171" s="207">
        <f>+G171/360</f>
        <v>2.41450682114893</v>
      </c>
      <c r="I171" s="189">
        <f>SUM(I173:I176)</f>
        <v>32600665061.919998</v>
      </c>
      <c r="J171" s="218">
        <f>SUM(J173:J176)</f>
        <v>37505548.609999999</v>
      </c>
      <c r="K171" s="184">
        <f>SUM(K173:K176)</f>
        <v>37505548.609999999</v>
      </c>
      <c r="L171" s="26"/>
      <c r="M171" s="26"/>
      <c r="N171" s="44"/>
      <c r="O171" s="44"/>
    </row>
    <row r="172" spans="2:15" s="22" customFormat="1" ht="22.5" customHeight="1" x14ac:dyDescent="0.2">
      <c r="B172" s="240" t="s">
        <v>319</v>
      </c>
      <c r="C172" s="142"/>
      <c r="D172" s="165"/>
      <c r="E172" s="165"/>
      <c r="F172" s="146"/>
      <c r="G172" s="173">
        <f>+I172/J172</f>
        <v>1120.2273213713627</v>
      </c>
      <c r="H172" s="207">
        <f>+G172/360</f>
        <v>3.1117425593648962</v>
      </c>
      <c r="I172" s="189">
        <f>SUM(I173:I174)</f>
        <v>29581865280</v>
      </c>
      <c r="J172" s="218">
        <f>SUM(J173:J174)</f>
        <v>26407020</v>
      </c>
      <c r="K172" s="184">
        <f>SUM(K173:K174)</f>
        <v>26407020</v>
      </c>
      <c r="L172" s="26"/>
      <c r="M172" s="26"/>
      <c r="N172" s="45">
        <f>SUM(N173:N174)</f>
        <v>1106059.08</v>
      </c>
      <c r="O172" s="43">
        <f t="shared" ref="O172:O179" si="63">+N172/K172</f>
        <v>4.188503965990862E-2</v>
      </c>
    </row>
    <row r="173" spans="2:15" s="22" customFormat="1" ht="36.75" customHeight="1" x14ac:dyDescent="0.2">
      <c r="B173" s="161" t="s">
        <v>154</v>
      </c>
      <c r="C173" s="148">
        <v>3.85</v>
      </c>
      <c r="D173" s="166">
        <v>43588</v>
      </c>
      <c r="E173" s="166">
        <v>46145</v>
      </c>
      <c r="F173" s="149">
        <v>45504</v>
      </c>
      <c r="G173" s="174">
        <f t="shared" ref="G173:G176" si="64">DAYS360(F173,E173)</f>
        <v>633</v>
      </c>
      <c r="H173" s="208">
        <f t="shared" ref="H173:H176" si="65">+G173/360</f>
        <v>1.7583333333333333</v>
      </c>
      <c r="I173" s="194">
        <f t="shared" ref="I173:I176" si="66">+G173*J173</f>
        <v>13065120000</v>
      </c>
      <c r="J173" s="196">
        <v>20640000</v>
      </c>
      <c r="K173" s="186">
        <v>20640000</v>
      </c>
      <c r="L173" s="26"/>
      <c r="M173" s="26"/>
      <c r="N173" s="42">
        <f>+J173*C173/100</f>
        <v>794640</v>
      </c>
      <c r="O173" s="43">
        <f t="shared" si="63"/>
        <v>3.85E-2</v>
      </c>
    </row>
    <row r="174" spans="2:15" s="22" customFormat="1" ht="36.75" customHeight="1" x14ac:dyDescent="0.2">
      <c r="B174" s="161" t="s">
        <v>155</v>
      </c>
      <c r="C174" s="148">
        <v>5.4</v>
      </c>
      <c r="D174" s="166">
        <v>44756</v>
      </c>
      <c r="E174" s="166">
        <v>48409</v>
      </c>
      <c r="F174" s="149">
        <v>45504</v>
      </c>
      <c r="G174" s="174">
        <f t="shared" si="64"/>
        <v>2864</v>
      </c>
      <c r="H174" s="208">
        <f t="shared" si="65"/>
        <v>7.9555555555555557</v>
      </c>
      <c r="I174" s="194">
        <f t="shared" si="66"/>
        <v>16516745280</v>
      </c>
      <c r="J174" s="196">
        <v>5767020</v>
      </c>
      <c r="K174" s="186">
        <v>5767020</v>
      </c>
      <c r="L174" s="48"/>
      <c r="M174" s="26"/>
      <c r="N174" s="42">
        <f>+J174*C174/100</f>
        <v>311419.08</v>
      </c>
      <c r="O174" s="43">
        <f t="shared" si="63"/>
        <v>5.3999999999999999E-2</v>
      </c>
    </row>
    <row r="175" spans="2:15" s="22" customFormat="1" ht="24.75" customHeight="1" x14ac:dyDescent="0.2">
      <c r="B175" s="239" t="s">
        <v>320</v>
      </c>
      <c r="C175" s="148"/>
      <c r="D175" s="166"/>
      <c r="E175" s="166"/>
      <c r="F175" s="149"/>
      <c r="G175" s="174"/>
      <c r="H175" s="208"/>
      <c r="I175" s="194"/>
      <c r="J175" s="196"/>
      <c r="K175" s="186"/>
      <c r="L175" s="48"/>
      <c r="M175" s="26"/>
      <c r="N175" s="42"/>
      <c r="O175" s="43"/>
    </row>
    <row r="176" spans="2:15" s="22" customFormat="1" ht="36.75" customHeight="1" x14ac:dyDescent="0.2">
      <c r="B176" s="161" t="s">
        <v>156</v>
      </c>
      <c r="C176" s="148">
        <v>6</v>
      </c>
      <c r="D176" s="166">
        <v>45048</v>
      </c>
      <c r="E176" s="166">
        <v>45779</v>
      </c>
      <c r="F176" s="149">
        <v>45504</v>
      </c>
      <c r="G176" s="174">
        <f t="shared" si="64"/>
        <v>272</v>
      </c>
      <c r="H176" s="207">
        <f t="shared" si="65"/>
        <v>0.75555555555555554</v>
      </c>
      <c r="I176" s="194">
        <f t="shared" si="66"/>
        <v>3018799781.9200001</v>
      </c>
      <c r="J176" s="196">
        <v>11098528.609999999</v>
      </c>
      <c r="K176" s="186">
        <v>11098528.609999999</v>
      </c>
      <c r="L176" s="40"/>
      <c r="M176" s="40"/>
      <c r="N176" s="42">
        <f>+J176*C176/100</f>
        <v>665911.71659999993</v>
      </c>
      <c r="O176" s="43">
        <f t="shared" si="63"/>
        <v>0.06</v>
      </c>
    </row>
    <row r="177" spans="2:18" s="22" customFormat="1" ht="15.75" customHeight="1" x14ac:dyDescent="0.2">
      <c r="B177" s="161"/>
      <c r="C177" s="148"/>
      <c r="D177" s="166"/>
      <c r="E177" s="166"/>
      <c r="F177" s="149"/>
      <c r="G177" s="174"/>
      <c r="H177" s="208"/>
      <c r="I177" s="194"/>
      <c r="J177" s="196"/>
      <c r="K177" s="186"/>
      <c r="L177" s="40"/>
      <c r="M177" s="40"/>
      <c r="N177" s="42"/>
      <c r="O177" s="43"/>
    </row>
    <row r="178" spans="2:18" s="22" customFormat="1" ht="21" customHeight="1" x14ac:dyDescent="0.2">
      <c r="B178" s="163" t="s">
        <v>157</v>
      </c>
      <c r="C178" s="142"/>
      <c r="D178" s="165"/>
      <c r="E178" s="165"/>
      <c r="F178" s="146"/>
      <c r="G178" s="174">
        <f>+I178/J178</f>
        <v>6540</v>
      </c>
      <c r="H178" s="207">
        <f>+G178/360</f>
        <v>18.166666666666668</v>
      </c>
      <c r="I178" s="189">
        <f>SUM(I179)</f>
        <v>470109177026.39996</v>
      </c>
      <c r="J178" s="218">
        <f>SUM(J179)</f>
        <v>71882137.159999996</v>
      </c>
      <c r="K178" s="184">
        <f>SUM(K179)</f>
        <v>71882137.159999996</v>
      </c>
      <c r="L178" s="40"/>
      <c r="M178" s="40"/>
      <c r="N178" s="44"/>
      <c r="O178" s="44"/>
    </row>
    <row r="179" spans="2:18" s="22" customFormat="1" ht="40.5" customHeight="1" x14ac:dyDescent="0.2">
      <c r="B179" s="161" t="s">
        <v>158</v>
      </c>
      <c r="C179" s="148">
        <v>3.5</v>
      </c>
      <c r="D179" s="166">
        <v>44834</v>
      </c>
      <c r="E179" s="166">
        <v>52139</v>
      </c>
      <c r="F179" s="149">
        <v>45504</v>
      </c>
      <c r="G179" s="174">
        <f t="shared" ref="G179" si="67">DAYS360(F179,E179)</f>
        <v>6540</v>
      </c>
      <c r="H179" s="208">
        <f t="shared" ref="H179" si="68">+G179/360</f>
        <v>18.166666666666668</v>
      </c>
      <c r="I179" s="194">
        <f t="shared" ref="I179" si="69">+G179*J179</f>
        <v>470109177026.39996</v>
      </c>
      <c r="J179" s="196">
        <v>71882137.159999996</v>
      </c>
      <c r="K179" s="186">
        <v>71882137.159999996</v>
      </c>
      <c r="L179" s="133">
        <f>SUM(L181+L348+L373+L377+L387+L395+L369)</f>
        <v>0</v>
      </c>
      <c r="M179" s="40"/>
      <c r="N179" s="42">
        <f>+J179*C179/100</f>
        <v>2515874.8006000002</v>
      </c>
      <c r="O179" s="43">
        <f t="shared" si="63"/>
        <v>3.5000000000000003E-2</v>
      </c>
    </row>
    <row r="180" spans="2:18" s="22" customFormat="1" ht="8.25" customHeight="1" x14ac:dyDescent="0.2">
      <c r="B180" s="161"/>
      <c r="C180" s="148"/>
      <c r="D180" s="166"/>
      <c r="E180" s="166"/>
      <c r="F180" s="149"/>
      <c r="G180" s="175"/>
      <c r="H180" s="209"/>
      <c r="I180" s="168"/>
      <c r="J180" s="196"/>
      <c r="K180" s="186"/>
      <c r="L180" s="49"/>
      <c r="M180" s="40"/>
      <c r="N180" s="44"/>
      <c r="O180" s="44"/>
    </row>
    <row r="181" spans="2:18" s="22" customFormat="1" ht="36.75" customHeight="1" x14ac:dyDescent="0.2">
      <c r="B181" s="233" t="s">
        <v>159</v>
      </c>
      <c r="C181" s="234"/>
      <c r="D181" s="235"/>
      <c r="E181" s="235"/>
      <c r="F181" s="236"/>
      <c r="G181" s="237"/>
      <c r="H181" s="238"/>
      <c r="I181" s="199"/>
      <c r="J181" s="215">
        <f>SUM(J183+J350+J375+J379+J389+J397+J371)</f>
        <v>2378944279.5600004</v>
      </c>
      <c r="K181" s="216">
        <f ca="1">SUM(K183+K350+K375+K379+K389+K397+K371)</f>
        <v>2507956712.0900002</v>
      </c>
      <c r="L181" s="40"/>
      <c r="M181" s="40"/>
      <c r="N181" s="44"/>
      <c r="O181" s="44"/>
    </row>
    <row r="182" spans="2:18" s="22" customFormat="1" ht="15.75" customHeight="1" x14ac:dyDescent="0.2">
      <c r="B182" s="232"/>
      <c r="C182" s="162"/>
      <c r="D182" s="166"/>
      <c r="E182" s="166"/>
      <c r="F182" s="149"/>
      <c r="G182" s="175"/>
      <c r="H182" s="209"/>
      <c r="I182" s="201"/>
      <c r="J182" s="217"/>
      <c r="K182" s="181"/>
      <c r="L182" s="40"/>
      <c r="M182" s="40"/>
      <c r="N182" s="44"/>
      <c r="O182" s="44"/>
    </row>
    <row r="183" spans="2:18" s="22" customFormat="1" ht="25.5" customHeight="1" x14ac:dyDescent="0.2">
      <c r="B183" s="163" t="s">
        <v>16</v>
      </c>
      <c r="C183" s="162"/>
      <c r="D183" s="166"/>
      <c r="E183" s="166"/>
      <c r="F183" s="149"/>
      <c r="G183" s="173">
        <f>+I183/J183</f>
        <v>8773.0011345625717</v>
      </c>
      <c r="H183" s="207">
        <f t="shared" ref="H183" si="70">+G183/360</f>
        <v>24.369447596007145</v>
      </c>
      <c r="I183" s="187">
        <f>SUM(I185+I204+I208+I249+I257+I264+I341+I269+I308+I347+I244+I313+I241)</f>
        <v>10478623457847.182</v>
      </c>
      <c r="J183" s="218">
        <f>SUM(J185+J204+J208+J249+J257+J264+J341+J269+J308+J347+J244+J313+J241)</f>
        <v>1194417200.8100002</v>
      </c>
      <c r="K183" s="184">
        <f ca="1">SUM(K185+K204+K208+K249+K257+K264+K341+K269+K308+K347+K244+K313+K241)</f>
        <v>1208217747.45</v>
      </c>
      <c r="L183" s="40"/>
      <c r="M183" s="40"/>
      <c r="N183" s="24">
        <f>SUM(N185+N204+N208+N249+N257+N264+N341+N269+N308+N347+N244+N313+N241)</f>
        <v>65079412.548901409</v>
      </c>
      <c r="O183" s="50">
        <f>65079412.55/1208217747.45%/100</f>
        <v>5.3863976660956298E-2</v>
      </c>
      <c r="P183" s="33"/>
      <c r="R183" s="33"/>
    </row>
    <row r="184" spans="2:18" s="22" customFormat="1" ht="12" customHeight="1" x14ac:dyDescent="0.2">
      <c r="B184" s="163"/>
      <c r="C184" s="162"/>
      <c r="D184" s="166"/>
      <c r="E184" s="166"/>
      <c r="F184" s="149"/>
      <c r="G184" s="175"/>
      <c r="H184" s="209"/>
      <c r="I184" s="202"/>
      <c r="J184" s="217"/>
      <c r="K184" s="184"/>
      <c r="L184" s="40"/>
      <c r="M184" s="40"/>
      <c r="N184" s="24"/>
      <c r="O184" s="50"/>
      <c r="P184" s="33"/>
      <c r="R184" s="33"/>
    </row>
    <row r="185" spans="2:18" s="22" customFormat="1" ht="24.75" customHeight="1" x14ac:dyDescent="0.2">
      <c r="B185" s="163" t="s">
        <v>160</v>
      </c>
      <c r="C185" s="151"/>
      <c r="D185" s="166"/>
      <c r="E185" s="166"/>
      <c r="F185" s="149"/>
      <c r="G185" s="173">
        <f>+I185/J185</f>
        <v>539</v>
      </c>
      <c r="H185" s="208">
        <f t="shared" ref="H185:H202" si="71">+G185/360</f>
        <v>1.4972222222222222</v>
      </c>
      <c r="I185" s="189">
        <f>SUM(I186:I202)</f>
        <v>23708129322.57</v>
      </c>
      <c r="J185" s="218">
        <f>SUM(J186:J202)</f>
        <v>43985397.629999995</v>
      </c>
      <c r="K185" s="184">
        <f>SUM(K186:K202)</f>
        <v>42132572.450000003</v>
      </c>
      <c r="L185" s="40"/>
      <c r="M185" s="40"/>
      <c r="N185" s="24">
        <f>SUM(N186:N202)</f>
        <v>3133959.5811374998</v>
      </c>
      <c r="O185" s="25">
        <f>+N185/K185</f>
        <v>7.4383295367418265E-2</v>
      </c>
      <c r="P185" s="51"/>
    </row>
    <row r="186" spans="2:18" s="22" customFormat="1" ht="24.75" customHeight="1" x14ac:dyDescent="0.2">
      <c r="B186" s="150" t="s">
        <v>161</v>
      </c>
      <c r="C186" s="148">
        <v>7.125</v>
      </c>
      <c r="D186" s="166">
        <v>39742</v>
      </c>
      <c r="E186" s="166">
        <v>46051</v>
      </c>
      <c r="F186" s="149">
        <v>45504</v>
      </c>
      <c r="G186" s="174">
        <f t="shared" ref="G186:G202" si="72">DAYS360(F186,E186)</f>
        <v>539</v>
      </c>
      <c r="H186" s="208">
        <f t="shared" si="71"/>
        <v>1.4972222222222222</v>
      </c>
      <c r="I186" s="194">
        <f t="shared" ref="I186:I202" si="73">+G186*J186</f>
        <v>210323799.06999999</v>
      </c>
      <c r="J186" s="196">
        <v>390211.13</v>
      </c>
      <c r="K186" s="183">
        <v>356067.65</v>
      </c>
      <c r="L186" s="31"/>
      <c r="M186" s="31"/>
      <c r="N186" s="32">
        <f t="shared" ref="N186:N202" si="74">+J186*C186/100</f>
        <v>27802.543012499998</v>
      </c>
      <c r="O186" s="33">
        <f t="shared" ref="O186:O202" si="75">+N186/K186</f>
        <v>7.8082193123975172E-2</v>
      </c>
    </row>
    <row r="187" spans="2:18" s="22" customFormat="1" ht="24.75" customHeight="1" x14ac:dyDescent="0.2">
      <c r="B187" s="150" t="s">
        <v>162</v>
      </c>
      <c r="C187" s="148">
        <v>7.125</v>
      </c>
      <c r="D187" s="166">
        <v>39736</v>
      </c>
      <c r="E187" s="166">
        <v>46051</v>
      </c>
      <c r="F187" s="149">
        <v>45504</v>
      </c>
      <c r="G187" s="174">
        <f t="shared" si="72"/>
        <v>539</v>
      </c>
      <c r="H187" s="208">
        <f t="shared" si="71"/>
        <v>1.4972222222222222</v>
      </c>
      <c r="I187" s="194">
        <f t="shared" si="73"/>
        <v>380386152.29999995</v>
      </c>
      <c r="J187" s="196">
        <v>705725.7</v>
      </c>
      <c r="K187" s="183">
        <v>670439.41</v>
      </c>
      <c r="L187" s="31"/>
      <c r="M187" s="31"/>
      <c r="N187" s="32">
        <f t="shared" si="74"/>
        <v>50282.956124999997</v>
      </c>
      <c r="O187" s="33">
        <f t="shared" si="75"/>
        <v>7.5000000559334659E-2</v>
      </c>
    </row>
    <row r="188" spans="2:18" s="22" customFormat="1" ht="24.75" customHeight="1" x14ac:dyDescent="0.2">
      <c r="B188" s="150" t="s">
        <v>163</v>
      </c>
      <c r="C188" s="148">
        <v>7.125</v>
      </c>
      <c r="D188" s="166">
        <v>39742</v>
      </c>
      <c r="E188" s="166">
        <v>46051</v>
      </c>
      <c r="F188" s="149">
        <v>45504</v>
      </c>
      <c r="G188" s="174">
        <f t="shared" si="72"/>
        <v>539</v>
      </c>
      <c r="H188" s="208">
        <f t="shared" si="71"/>
        <v>1.4972222222222222</v>
      </c>
      <c r="I188" s="194">
        <f t="shared" si="73"/>
        <v>1545753395.3399999</v>
      </c>
      <c r="J188" s="196">
        <v>2867817.06</v>
      </c>
      <c r="K188" s="183">
        <v>2616883.0699999998</v>
      </c>
      <c r="L188" s="31"/>
      <c r="M188" s="31"/>
      <c r="N188" s="32">
        <f t="shared" si="74"/>
        <v>204331.96552500001</v>
      </c>
      <c r="O188" s="33">
        <f t="shared" si="75"/>
        <v>7.8082191698767803E-2</v>
      </c>
    </row>
    <row r="189" spans="2:18" s="22" customFormat="1" ht="24.75" customHeight="1" x14ac:dyDescent="0.2">
      <c r="B189" s="150" t="s">
        <v>164</v>
      </c>
      <c r="C189" s="148">
        <v>7.125</v>
      </c>
      <c r="D189" s="166">
        <v>39736</v>
      </c>
      <c r="E189" s="166">
        <v>46051</v>
      </c>
      <c r="F189" s="149">
        <v>45504</v>
      </c>
      <c r="G189" s="174">
        <f t="shared" si="72"/>
        <v>539</v>
      </c>
      <c r="H189" s="208">
        <f t="shared" si="71"/>
        <v>1.4972222222222222</v>
      </c>
      <c r="I189" s="194">
        <f t="shared" si="73"/>
        <v>1538534525.22</v>
      </c>
      <c r="J189" s="196">
        <v>2854423.98</v>
      </c>
      <c r="K189" s="183">
        <v>2711702.78</v>
      </c>
      <c r="L189" s="31"/>
      <c r="M189" s="31"/>
      <c r="N189" s="32">
        <f t="shared" si="74"/>
        <v>203377.70857499997</v>
      </c>
      <c r="O189" s="33">
        <f t="shared" si="75"/>
        <v>7.5000000027657887E-2</v>
      </c>
    </row>
    <row r="190" spans="2:18" s="22" customFormat="1" ht="24.75" customHeight="1" x14ac:dyDescent="0.2">
      <c r="B190" s="150" t="s">
        <v>165</v>
      </c>
      <c r="C190" s="148">
        <v>7.125</v>
      </c>
      <c r="D190" s="166">
        <v>39743</v>
      </c>
      <c r="E190" s="166">
        <v>46051</v>
      </c>
      <c r="F190" s="149">
        <v>45504</v>
      </c>
      <c r="G190" s="174">
        <f t="shared" si="72"/>
        <v>539</v>
      </c>
      <c r="H190" s="208">
        <f t="shared" si="71"/>
        <v>1.4972222222222222</v>
      </c>
      <c r="I190" s="194">
        <f t="shared" si="73"/>
        <v>1131142042.03</v>
      </c>
      <c r="J190" s="196">
        <v>2098593.77</v>
      </c>
      <c r="K190" s="183">
        <v>1909720.33</v>
      </c>
      <c r="L190" s="31"/>
      <c r="M190" s="31"/>
      <c r="N190" s="32">
        <f t="shared" si="74"/>
        <v>149524.80611249999</v>
      </c>
      <c r="O190" s="33">
        <f t="shared" si="75"/>
        <v>7.8296703325402617E-2</v>
      </c>
    </row>
    <row r="191" spans="2:18" s="22" customFormat="1" ht="24.75" customHeight="1" x14ac:dyDescent="0.2">
      <c r="B191" s="150" t="s">
        <v>166</v>
      </c>
      <c r="C191" s="148">
        <v>7.125</v>
      </c>
      <c r="D191" s="166">
        <v>39841</v>
      </c>
      <c r="E191" s="166">
        <v>46051</v>
      </c>
      <c r="F191" s="149">
        <v>45504</v>
      </c>
      <c r="G191" s="174">
        <f t="shared" si="72"/>
        <v>539</v>
      </c>
      <c r="H191" s="208">
        <f t="shared" si="71"/>
        <v>1.4972222222222222</v>
      </c>
      <c r="I191" s="194">
        <f t="shared" si="73"/>
        <v>1101649460.45</v>
      </c>
      <c r="J191" s="196">
        <v>2043876.55</v>
      </c>
      <c r="K191" s="183">
        <v>1972340.88</v>
      </c>
      <c r="L191" s="31"/>
      <c r="M191" s="31"/>
      <c r="N191" s="32">
        <f t="shared" si="74"/>
        <v>145626.2041875</v>
      </c>
      <c r="O191" s="33">
        <f t="shared" si="75"/>
        <v>7.3834196544919767E-2</v>
      </c>
    </row>
    <row r="192" spans="2:18" s="22" customFormat="1" ht="24.75" customHeight="1" x14ac:dyDescent="0.2">
      <c r="B192" s="150" t="s">
        <v>167</v>
      </c>
      <c r="C192" s="148">
        <v>7.125</v>
      </c>
      <c r="D192" s="166">
        <v>39841</v>
      </c>
      <c r="E192" s="166">
        <v>46051</v>
      </c>
      <c r="F192" s="149">
        <v>45504</v>
      </c>
      <c r="G192" s="174">
        <f t="shared" si="72"/>
        <v>539</v>
      </c>
      <c r="H192" s="208">
        <f t="shared" si="71"/>
        <v>1.4972222222222222</v>
      </c>
      <c r="I192" s="194">
        <f t="shared" si="73"/>
        <v>2898157061.0299997</v>
      </c>
      <c r="J192" s="196">
        <v>5376914.7699999996</v>
      </c>
      <c r="K192" s="183">
        <v>5188722.75</v>
      </c>
      <c r="L192" s="31"/>
      <c r="M192" s="31"/>
      <c r="N192" s="32">
        <f t="shared" si="74"/>
        <v>383105.17736249999</v>
      </c>
      <c r="O192" s="33">
        <f t="shared" si="75"/>
        <v>7.3834196934592422E-2</v>
      </c>
    </row>
    <row r="193" spans="2:15" s="22" customFormat="1" ht="24.75" customHeight="1" x14ac:dyDescent="0.2">
      <c r="B193" s="150" t="s">
        <v>168</v>
      </c>
      <c r="C193" s="148">
        <v>7.125</v>
      </c>
      <c r="D193" s="166">
        <v>39841</v>
      </c>
      <c r="E193" s="166">
        <v>46051</v>
      </c>
      <c r="F193" s="149">
        <v>45504</v>
      </c>
      <c r="G193" s="174">
        <f t="shared" si="72"/>
        <v>539</v>
      </c>
      <c r="H193" s="208">
        <f t="shared" si="71"/>
        <v>1.4972222222222222</v>
      </c>
      <c r="I193" s="194">
        <f t="shared" si="73"/>
        <v>174301022.28</v>
      </c>
      <c r="J193" s="196">
        <v>323378.52</v>
      </c>
      <c r="K193" s="183">
        <v>312060.27</v>
      </c>
      <c r="L193" s="31"/>
      <c r="M193" s="31"/>
      <c r="N193" s="32">
        <f t="shared" si="74"/>
        <v>23040.719550000002</v>
      </c>
      <c r="O193" s="33">
        <f t="shared" si="75"/>
        <v>7.3834197317075967E-2</v>
      </c>
    </row>
    <row r="194" spans="2:15" s="22" customFormat="1" ht="24.75" customHeight="1" x14ac:dyDescent="0.2">
      <c r="B194" s="150" t="s">
        <v>169</v>
      </c>
      <c r="C194" s="148">
        <v>7.125</v>
      </c>
      <c r="D194" s="166">
        <v>39853</v>
      </c>
      <c r="E194" s="166">
        <v>46051</v>
      </c>
      <c r="F194" s="149">
        <v>45504</v>
      </c>
      <c r="G194" s="174">
        <f t="shared" si="72"/>
        <v>539</v>
      </c>
      <c r="H194" s="208">
        <f t="shared" si="71"/>
        <v>1.4972222222222222</v>
      </c>
      <c r="I194" s="194">
        <f t="shared" si="73"/>
        <v>1074999322.3199999</v>
      </c>
      <c r="J194" s="196">
        <v>1994432.88</v>
      </c>
      <c r="K194" s="183">
        <v>1934599.89</v>
      </c>
      <c r="L194" s="31"/>
      <c r="M194" s="31"/>
      <c r="N194" s="32">
        <f t="shared" si="74"/>
        <v>142103.34270000001</v>
      </c>
      <c r="O194" s="33">
        <f t="shared" si="75"/>
        <v>7.3453608384108832E-2</v>
      </c>
    </row>
    <row r="195" spans="2:15" s="22" customFormat="1" ht="24.75" customHeight="1" x14ac:dyDescent="0.2">
      <c r="B195" s="153" t="s">
        <v>170</v>
      </c>
      <c r="C195" s="158">
        <v>7.125</v>
      </c>
      <c r="D195" s="166">
        <v>39826</v>
      </c>
      <c r="E195" s="166">
        <v>46051</v>
      </c>
      <c r="F195" s="149">
        <v>45504</v>
      </c>
      <c r="G195" s="174">
        <f t="shared" si="72"/>
        <v>539</v>
      </c>
      <c r="H195" s="208">
        <f t="shared" si="71"/>
        <v>1.4972222222222222</v>
      </c>
      <c r="I195" s="194">
        <f t="shared" si="73"/>
        <v>178786300</v>
      </c>
      <c r="J195" s="196">
        <v>331700</v>
      </c>
      <c r="K195" s="183">
        <v>320090.5</v>
      </c>
      <c r="L195" s="31"/>
      <c r="M195" s="31"/>
      <c r="N195" s="32">
        <f t="shared" si="74"/>
        <v>23633.625</v>
      </c>
      <c r="O195" s="33">
        <f t="shared" si="75"/>
        <v>7.3834196891191708E-2</v>
      </c>
    </row>
    <row r="196" spans="2:15" s="22" customFormat="1" ht="24.75" customHeight="1" x14ac:dyDescent="0.2">
      <c r="B196" s="153" t="s">
        <v>171</v>
      </c>
      <c r="C196" s="158">
        <v>7.125</v>
      </c>
      <c r="D196" s="166">
        <v>39829</v>
      </c>
      <c r="E196" s="166">
        <v>46051</v>
      </c>
      <c r="F196" s="149">
        <v>45504</v>
      </c>
      <c r="G196" s="174">
        <f t="shared" si="72"/>
        <v>539</v>
      </c>
      <c r="H196" s="208">
        <f t="shared" si="71"/>
        <v>1.4972222222222222</v>
      </c>
      <c r="I196" s="194">
        <f t="shared" si="73"/>
        <v>2695000000</v>
      </c>
      <c r="J196" s="196">
        <v>5000000</v>
      </c>
      <c r="K196" s="183">
        <v>4862500</v>
      </c>
      <c r="L196" s="31"/>
      <c r="M196" s="31"/>
      <c r="N196" s="32">
        <f t="shared" si="74"/>
        <v>356250</v>
      </c>
      <c r="O196" s="33">
        <f t="shared" si="75"/>
        <v>7.3264781491002573E-2</v>
      </c>
    </row>
    <row r="197" spans="2:15" s="22" customFormat="1" ht="24.75" customHeight="1" x14ac:dyDescent="0.2">
      <c r="B197" s="153" t="s">
        <v>171</v>
      </c>
      <c r="C197" s="158">
        <v>7.125</v>
      </c>
      <c r="D197" s="166">
        <v>39833</v>
      </c>
      <c r="E197" s="166">
        <v>46051</v>
      </c>
      <c r="F197" s="149">
        <v>45504</v>
      </c>
      <c r="G197" s="174">
        <f t="shared" si="72"/>
        <v>539</v>
      </c>
      <c r="H197" s="208">
        <f t="shared" si="71"/>
        <v>1.4972222222222222</v>
      </c>
      <c r="I197" s="194">
        <f t="shared" si="73"/>
        <v>1886500000</v>
      </c>
      <c r="J197" s="196">
        <v>3500000</v>
      </c>
      <c r="K197" s="183">
        <v>3412500</v>
      </c>
      <c r="L197" s="31"/>
      <c r="M197" s="31"/>
      <c r="N197" s="32">
        <f t="shared" si="74"/>
        <v>249375</v>
      </c>
      <c r="O197" s="33">
        <f t="shared" si="75"/>
        <v>7.3076923076923081E-2</v>
      </c>
    </row>
    <row r="198" spans="2:15" s="22" customFormat="1" ht="24.75" customHeight="1" x14ac:dyDescent="0.2">
      <c r="B198" s="153" t="s">
        <v>172</v>
      </c>
      <c r="C198" s="158">
        <v>7.125</v>
      </c>
      <c r="D198" s="166">
        <v>39742</v>
      </c>
      <c r="E198" s="166">
        <v>46051</v>
      </c>
      <c r="F198" s="149">
        <v>45504</v>
      </c>
      <c r="G198" s="174">
        <f t="shared" si="72"/>
        <v>539</v>
      </c>
      <c r="H198" s="208">
        <f t="shared" si="71"/>
        <v>1.4972222222222222</v>
      </c>
      <c r="I198" s="194">
        <f t="shared" si="73"/>
        <v>29361372.809999999</v>
      </c>
      <c r="J198" s="196">
        <v>54473.79</v>
      </c>
      <c r="K198" s="183">
        <v>49707.33</v>
      </c>
      <c r="L198" s="31"/>
      <c r="M198" s="31"/>
      <c r="N198" s="32">
        <f t="shared" si="74"/>
        <v>3881.2575375000001</v>
      </c>
      <c r="O198" s="33">
        <f t="shared" si="75"/>
        <v>7.8082197082402133E-2</v>
      </c>
    </row>
    <row r="199" spans="2:15" s="22" customFormat="1" ht="24.75" customHeight="1" x14ac:dyDescent="0.2">
      <c r="B199" s="153" t="s">
        <v>173</v>
      </c>
      <c r="C199" s="158">
        <v>7.125</v>
      </c>
      <c r="D199" s="166">
        <v>39841</v>
      </c>
      <c r="E199" s="166">
        <v>46051</v>
      </c>
      <c r="F199" s="149">
        <v>45504</v>
      </c>
      <c r="G199" s="174">
        <f t="shared" si="72"/>
        <v>539</v>
      </c>
      <c r="H199" s="208">
        <f t="shared" si="71"/>
        <v>1.4972222222222222</v>
      </c>
      <c r="I199" s="194">
        <f t="shared" si="73"/>
        <v>1514203192.04</v>
      </c>
      <c r="J199" s="196">
        <v>2809282.36</v>
      </c>
      <c r="K199" s="183">
        <v>2710957.48</v>
      </c>
      <c r="L199" s="31"/>
      <c r="M199" s="21"/>
      <c r="N199" s="32">
        <f t="shared" si="74"/>
        <v>200161.36814999997</v>
      </c>
      <c r="O199" s="33">
        <f t="shared" si="75"/>
        <v>7.3834196820379477E-2</v>
      </c>
    </row>
    <row r="200" spans="2:15" s="22" customFormat="1" ht="24.75" customHeight="1" x14ac:dyDescent="0.2">
      <c r="B200" s="153" t="s">
        <v>174</v>
      </c>
      <c r="C200" s="158">
        <v>7.125</v>
      </c>
      <c r="D200" s="166">
        <v>39853</v>
      </c>
      <c r="E200" s="166">
        <v>46051</v>
      </c>
      <c r="F200" s="149">
        <v>45504</v>
      </c>
      <c r="G200" s="174">
        <f t="shared" si="72"/>
        <v>539</v>
      </c>
      <c r="H200" s="208">
        <f t="shared" si="71"/>
        <v>1.4972222222222222</v>
      </c>
      <c r="I200" s="194">
        <f t="shared" si="73"/>
        <v>3037031677.6799998</v>
      </c>
      <c r="J200" s="196">
        <v>5634567.1200000001</v>
      </c>
      <c r="K200" s="183">
        <v>5465530.1100000003</v>
      </c>
      <c r="L200" s="31"/>
      <c r="M200" s="31"/>
      <c r="N200" s="32">
        <f t="shared" si="74"/>
        <v>401462.90730000002</v>
      </c>
      <c r="O200" s="33">
        <f t="shared" si="75"/>
        <v>7.3453608199040732E-2</v>
      </c>
    </row>
    <row r="201" spans="2:15" s="22" customFormat="1" ht="24.75" customHeight="1" x14ac:dyDescent="0.2">
      <c r="B201" s="153" t="s">
        <v>175</v>
      </c>
      <c r="C201" s="158">
        <v>7.125</v>
      </c>
      <c r="D201" s="166">
        <v>39882</v>
      </c>
      <c r="E201" s="166">
        <v>46051</v>
      </c>
      <c r="F201" s="149">
        <v>45504</v>
      </c>
      <c r="G201" s="174">
        <f t="shared" si="72"/>
        <v>539</v>
      </c>
      <c r="H201" s="208">
        <f t="shared" si="71"/>
        <v>1.4972222222222222</v>
      </c>
      <c r="I201" s="194">
        <f t="shared" si="73"/>
        <v>1347500000</v>
      </c>
      <c r="J201" s="196">
        <v>2500000</v>
      </c>
      <c r="K201" s="183">
        <v>2400000</v>
      </c>
      <c r="L201" s="34"/>
      <c r="M201" s="21"/>
      <c r="N201" s="32">
        <f t="shared" si="74"/>
        <v>178125</v>
      </c>
      <c r="O201" s="33">
        <f t="shared" si="75"/>
        <v>7.421875E-2</v>
      </c>
    </row>
    <row r="202" spans="2:15" s="22" customFormat="1" ht="27" customHeight="1" x14ac:dyDescent="0.2">
      <c r="B202" s="153" t="s">
        <v>176</v>
      </c>
      <c r="C202" s="158">
        <v>7.125</v>
      </c>
      <c r="D202" s="166">
        <v>39883</v>
      </c>
      <c r="E202" s="166">
        <v>46051</v>
      </c>
      <c r="F202" s="149">
        <v>45504</v>
      </c>
      <c r="G202" s="174">
        <f t="shared" si="72"/>
        <v>539</v>
      </c>
      <c r="H202" s="208">
        <f t="shared" si="71"/>
        <v>1.4972222222222222</v>
      </c>
      <c r="I202" s="194">
        <f t="shared" si="73"/>
        <v>2964500000</v>
      </c>
      <c r="J202" s="196">
        <v>5500000</v>
      </c>
      <c r="K202" s="183">
        <v>5238750</v>
      </c>
      <c r="L202" s="52">
        <f>SUM(L204:L205)</f>
        <v>0</v>
      </c>
      <c r="M202" s="21"/>
      <c r="N202" s="32">
        <f t="shared" si="74"/>
        <v>391875</v>
      </c>
      <c r="O202" s="33">
        <f t="shared" si="75"/>
        <v>7.4803149606299218E-2</v>
      </c>
    </row>
    <row r="203" spans="2:15" s="22" customFormat="1" ht="27" customHeight="1" x14ac:dyDescent="0.2">
      <c r="B203" s="153"/>
      <c r="C203" s="158"/>
      <c r="D203" s="166"/>
      <c r="E203" s="166"/>
      <c r="F203" s="149"/>
      <c r="G203" s="174"/>
      <c r="H203" s="208"/>
      <c r="I203" s="194"/>
      <c r="J203" s="196"/>
      <c r="K203" s="183"/>
      <c r="L203" s="27"/>
      <c r="M203" s="21"/>
      <c r="N203" s="32"/>
      <c r="O203" s="33"/>
    </row>
    <row r="204" spans="2:15" s="22" customFormat="1" ht="24.75" customHeight="1" x14ac:dyDescent="0.2">
      <c r="B204" s="163" t="s">
        <v>177</v>
      </c>
      <c r="C204" s="148"/>
      <c r="D204" s="166"/>
      <c r="E204" s="166"/>
      <c r="F204" s="149"/>
      <c r="G204" s="173">
        <f>+I204/J204</f>
        <v>2939</v>
      </c>
      <c r="H204" s="208">
        <f t="shared" ref="H204:H206" si="76">+G204/360</f>
        <v>8.1638888888888896</v>
      </c>
      <c r="I204" s="189">
        <f>SUM(I205:I206)</f>
        <v>176317227805.07999</v>
      </c>
      <c r="J204" s="218">
        <f>SUM(J205:J206)</f>
        <v>59992251.719999999</v>
      </c>
      <c r="K204" s="184">
        <f t="shared" ref="K204" si="77">SUM(K205:K206)</f>
        <v>59888709.649999999</v>
      </c>
      <c r="L204" s="34"/>
      <c r="M204" s="21"/>
      <c r="N204" s="53">
        <f>SUM(N205:N206)</f>
        <v>1351025.5087343999</v>
      </c>
      <c r="O204" s="54">
        <f t="shared" ref="O204:O206" si="78">+N204/K204</f>
        <v>2.2558935008451964E-2</v>
      </c>
    </row>
    <row r="205" spans="2:15" s="22" customFormat="1" ht="24.75" customHeight="1" x14ac:dyDescent="0.2">
      <c r="B205" s="150" t="s">
        <v>27</v>
      </c>
      <c r="C205" s="148">
        <v>2.2519999999999998</v>
      </c>
      <c r="D205" s="166" t="s">
        <v>178</v>
      </c>
      <c r="E205" s="166">
        <v>48486</v>
      </c>
      <c r="F205" s="149">
        <v>45504</v>
      </c>
      <c r="G205" s="174">
        <f t="shared" ref="G205:G206" si="79">DAYS360(F205,E205)</f>
        <v>2939</v>
      </c>
      <c r="H205" s="208">
        <f t="shared" si="76"/>
        <v>8.1638888888888896</v>
      </c>
      <c r="I205" s="194">
        <f t="shared" ref="I205:I206" si="80">+G205*J205</f>
        <v>146927227805.07999</v>
      </c>
      <c r="J205" s="196">
        <v>49992251.719999999</v>
      </c>
      <c r="K205" s="183">
        <v>50263709.649999999</v>
      </c>
      <c r="L205" s="34"/>
      <c r="M205" s="21"/>
      <c r="N205" s="32">
        <f>+J205*C205/100</f>
        <v>1125825.5087343999</v>
      </c>
      <c r="O205" s="33">
        <f t="shared" si="78"/>
        <v>2.2398376812492189E-2</v>
      </c>
    </row>
    <row r="206" spans="2:15" s="22" customFormat="1" ht="19.5" customHeight="1" x14ac:dyDescent="0.2">
      <c r="B206" s="150" t="s">
        <v>179</v>
      </c>
      <c r="C206" s="148">
        <v>2.2519999999999998</v>
      </c>
      <c r="D206" s="166">
        <v>44322</v>
      </c>
      <c r="E206" s="166">
        <v>48486</v>
      </c>
      <c r="F206" s="149">
        <v>45504</v>
      </c>
      <c r="G206" s="174">
        <f t="shared" si="79"/>
        <v>2939</v>
      </c>
      <c r="H206" s="208">
        <f t="shared" si="76"/>
        <v>8.1638888888888896</v>
      </c>
      <c r="I206" s="194">
        <f t="shared" si="80"/>
        <v>29390000000</v>
      </c>
      <c r="J206" s="196">
        <v>10000000</v>
      </c>
      <c r="K206" s="183">
        <v>9625000</v>
      </c>
      <c r="L206" s="34"/>
      <c r="M206" s="21"/>
      <c r="N206" s="32">
        <f>+J206*C206/100</f>
        <v>225199.99999999997</v>
      </c>
      <c r="O206" s="33">
        <f t="shared" si="78"/>
        <v>2.3397402597402594E-2</v>
      </c>
    </row>
    <row r="207" spans="2:15" s="22" customFormat="1" ht="19.5" customHeight="1" x14ac:dyDescent="0.2">
      <c r="B207" s="150"/>
      <c r="C207" s="148"/>
      <c r="D207" s="166"/>
      <c r="E207" s="166"/>
      <c r="F207" s="149"/>
      <c r="G207" s="175"/>
      <c r="H207" s="209"/>
      <c r="I207" s="168"/>
      <c r="J207" s="196"/>
      <c r="K207" s="183"/>
      <c r="L207" s="34"/>
      <c r="M207" s="21"/>
      <c r="N207" s="32"/>
      <c r="O207" s="33"/>
    </row>
    <row r="208" spans="2:15" s="22" customFormat="1" ht="24.75" customHeight="1" x14ac:dyDescent="0.2">
      <c r="B208" s="163" t="s">
        <v>180</v>
      </c>
      <c r="C208" s="148"/>
      <c r="D208" s="166"/>
      <c r="E208" s="166"/>
      <c r="F208" s="149"/>
      <c r="G208" s="173">
        <f>+I208/J208</f>
        <v>4135.9999999999991</v>
      </c>
      <c r="H208" s="208">
        <f t="shared" ref="H208:H239" si="81">+G208/360</f>
        <v>11.488888888888887</v>
      </c>
      <c r="I208" s="189">
        <f>SUM(I209:I239)</f>
        <v>705595873583.91992</v>
      </c>
      <c r="J208" s="218">
        <f>SUM(J209:J239)</f>
        <v>170598615.47000003</v>
      </c>
      <c r="K208" s="184">
        <f ca="1">SUM(K208:L238)</f>
        <v>173633936.81</v>
      </c>
      <c r="L208" s="34"/>
      <c r="M208" s="21"/>
      <c r="N208" s="27">
        <f>SUM(N209:N239)</f>
        <v>11430107.23649</v>
      </c>
      <c r="O208" s="54">
        <f t="shared" ref="O208:O239" ca="1" si="82">+N208/K208</f>
        <v>6.5847665847665854E-2</v>
      </c>
    </row>
    <row r="209" spans="2:15" s="22" customFormat="1" ht="24.75" customHeight="1" x14ac:dyDescent="0.2">
      <c r="B209" s="150" t="s">
        <v>181</v>
      </c>
      <c r="C209" s="148">
        <v>6.7</v>
      </c>
      <c r="D209" s="166">
        <v>39636</v>
      </c>
      <c r="E209" s="166">
        <v>49700</v>
      </c>
      <c r="F209" s="149">
        <v>45504</v>
      </c>
      <c r="G209" s="174">
        <f t="shared" ref="G209:G239" si="83">DAYS360(F209,E209)</f>
        <v>4136</v>
      </c>
      <c r="H209" s="208">
        <f t="shared" si="81"/>
        <v>11.488888888888889</v>
      </c>
      <c r="I209" s="194">
        <f t="shared" ref="I209:I239" si="84">+G209*J209</f>
        <v>14476000000</v>
      </c>
      <c r="J209" s="196">
        <f>3011474.59+488525.41</f>
        <v>3500000</v>
      </c>
      <c r="K209" s="183">
        <f>3064175.39+497074.61</f>
        <v>3561250</v>
      </c>
      <c r="L209" s="34"/>
      <c r="M209" s="21"/>
      <c r="N209" s="32">
        <f t="shared" ref="N209:N239" si="85">+J209*C209/100</f>
        <v>234500</v>
      </c>
      <c r="O209" s="33">
        <f t="shared" si="82"/>
        <v>6.5847665847665854E-2</v>
      </c>
    </row>
    <row r="210" spans="2:15" s="22" customFormat="1" ht="24.75" customHeight="1" x14ac:dyDescent="0.2">
      <c r="B210" s="150" t="s">
        <v>182</v>
      </c>
      <c r="C210" s="148">
        <v>6.7</v>
      </c>
      <c r="D210" s="166">
        <v>39645</v>
      </c>
      <c r="E210" s="166">
        <v>49700</v>
      </c>
      <c r="F210" s="149">
        <v>45504</v>
      </c>
      <c r="G210" s="174">
        <f t="shared" si="83"/>
        <v>4136</v>
      </c>
      <c r="H210" s="208">
        <f t="shared" si="81"/>
        <v>11.488888888888889</v>
      </c>
      <c r="I210" s="194">
        <f t="shared" si="84"/>
        <v>28952000000</v>
      </c>
      <c r="J210" s="196">
        <f>6022949.17+977050.83</f>
        <v>7000000</v>
      </c>
      <c r="K210" s="183">
        <f>6135879.47+995370.53</f>
        <v>7131250</v>
      </c>
      <c r="L210" s="34"/>
      <c r="M210" s="21"/>
      <c r="N210" s="32">
        <f t="shared" si="85"/>
        <v>469000</v>
      </c>
      <c r="O210" s="33">
        <f t="shared" si="82"/>
        <v>6.576687116564417E-2</v>
      </c>
    </row>
    <row r="211" spans="2:15" s="22" customFormat="1" ht="24.75" customHeight="1" x14ac:dyDescent="0.2">
      <c r="B211" s="150" t="s">
        <v>183</v>
      </c>
      <c r="C211" s="148">
        <v>6.7</v>
      </c>
      <c r="D211" s="166">
        <v>40218</v>
      </c>
      <c r="E211" s="166">
        <v>49700</v>
      </c>
      <c r="F211" s="149">
        <v>45504</v>
      </c>
      <c r="G211" s="174">
        <f t="shared" si="83"/>
        <v>4136</v>
      </c>
      <c r="H211" s="208">
        <f t="shared" si="81"/>
        <v>11.488888888888889</v>
      </c>
      <c r="I211" s="194">
        <f t="shared" si="84"/>
        <v>2010803297.3600001</v>
      </c>
      <c r="J211" s="196">
        <f>388660.89+97510.12</f>
        <v>486171.01</v>
      </c>
      <c r="K211" s="183">
        <f>396434.11+99460.32</f>
        <v>495894.43</v>
      </c>
      <c r="L211" s="34"/>
      <c r="M211" s="21"/>
      <c r="N211" s="32">
        <f t="shared" si="85"/>
        <v>32573.45767</v>
      </c>
      <c r="O211" s="33">
        <f t="shared" si="82"/>
        <v>6.5686274536295955E-2</v>
      </c>
    </row>
    <row r="212" spans="2:15" s="22" customFormat="1" ht="24.75" customHeight="1" x14ac:dyDescent="0.2">
      <c r="B212" s="150" t="s">
        <v>184</v>
      </c>
      <c r="C212" s="148">
        <v>6.7</v>
      </c>
      <c r="D212" s="166">
        <v>39714</v>
      </c>
      <c r="E212" s="166">
        <v>49700</v>
      </c>
      <c r="F212" s="149">
        <v>45504</v>
      </c>
      <c r="G212" s="174">
        <f t="shared" si="83"/>
        <v>4136</v>
      </c>
      <c r="H212" s="208">
        <f t="shared" si="81"/>
        <v>11.488888888888889</v>
      </c>
      <c r="I212" s="194">
        <f t="shared" si="84"/>
        <v>3722400000</v>
      </c>
      <c r="J212" s="196">
        <f>807677.43+92322.57</f>
        <v>900000</v>
      </c>
      <c r="K212" s="183">
        <f>801619.85+91630.15</f>
        <v>893250</v>
      </c>
      <c r="L212" s="34"/>
      <c r="M212" s="21"/>
      <c r="N212" s="32">
        <f t="shared" si="85"/>
        <v>60300</v>
      </c>
      <c r="O212" s="33">
        <f t="shared" si="82"/>
        <v>6.750629722921915E-2</v>
      </c>
    </row>
    <row r="213" spans="2:15" s="22" customFormat="1" ht="24.75" customHeight="1" x14ac:dyDescent="0.2">
      <c r="B213" s="150" t="s">
        <v>185</v>
      </c>
      <c r="C213" s="148">
        <v>6.7</v>
      </c>
      <c r="D213" s="166">
        <v>40218</v>
      </c>
      <c r="E213" s="166">
        <v>49700</v>
      </c>
      <c r="F213" s="149">
        <v>45504</v>
      </c>
      <c r="G213" s="174">
        <f t="shared" si="83"/>
        <v>4136</v>
      </c>
      <c r="H213" s="208">
        <f t="shared" si="81"/>
        <v>11.488888888888889</v>
      </c>
      <c r="I213" s="194">
        <f t="shared" si="84"/>
        <v>1446659514.96</v>
      </c>
      <c r="J213" s="196">
        <f>317634.86+32137.75</f>
        <v>349772.61</v>
      </c>
      <c r="K213" s="183">
        <f>323987.56+32780.5</f>
        <v>356768.06</v>
      </c>
      <c r="L213" s="34"/>
      <c r="M213" s="21"/>
      <c r="N213" s="32">
        <f t="shared" si="85"/>
        <v>23434.764870000003</v>
      </c>
      <c r="O213" s="33">
        <f t="shared" si="82"/>
        <v>6.5686274914856457E-2</v>
      </c>
    </row>
    <row r="214" spans="2:15" s="22" customFormat="1" ht="24.75" customHeight="1" x14ac:dyDescent="0.2">
      <c r="B214" s="150" t="s">
        <v>186</v>
      </c>
      <c r="C214" s="148">
        <v>6.7</v>
      </c>
      <c r="D214" s="166">
        <v>39841</v>
      </c>
      <c r="E214" s="166">
        <v>49700</v>
      </c>
      <c r="F214" s="149">
        <v>45504</v>
      </c>
      <c r="G214" s="174">
        <f t="shared" si="83"/>
        <v>4136</v>
      </c>
      <c r="H214" s="208">
        <f t="shared" si="81"/>
        <v>11.488888888888889</v>
      </c>
      <c r="I214" s="194">
        <f t="shared" si="84"/>
        <v>8114234182.5599995</v>
      </c>
      <c r="J214" s="196">
        <f>1734682.2+227173.26</f>
        <v>1961855.46</v>
      </c>
      <c r="K214" s="183">
        <f>1587234.22+207863.53</f>
        <v>1795097.75</v>
      </c>
      <c r="L214" s="34"/>
      <c r="M214" s="21"/>
      <c r="N214" s="32">
        <f t="shared" si="85"/>
        <v>131444.31582000002</v>
      </c>
      <c r="O214" s="33">
        <f t="shared" si="82"/>
        <v>7.3224043548603415E-2</v>
      </c>
    </row>
    <row r="215" spans="2:15" s="22" customFormat="1" ht="24.75" customHeight="1" x14ac:dyDescent="0.2">
      <c r="B215" s="150" t="s">
        <v>187</v>
      </c>
      <c r="C215" s="148">
        <v>6.7</v>
      </c>
      <c r="D215" s="166">
        <v>39911</v>
      </c>
      <c r="E215" s="166">
        <v>49700</v>
      </c>
      <c r="F215" s="149">
        <v>45504</v>
      </c>
      <c r="G215" s="174">
        <f t="shared" si="83"/>
        <v>4136</v>
      </c>
      <c r="H215" s="208">
        <f t="shared" si="81"/>
        <v>11.488888888888889</v>
      </c>
      <c r="I215" s="194">
        <f t="shared" si="84"/>
        <v>16556604584.080002</v>
      </c>
      <c r="J215" s="196">
        <f>3598139.54+404907.99</f>
        <v>4003047.5300000003</v>
      </c>
      <c r="K215" s="183">
        <f>3211339.54+361380.38</f>
        <v>3572719.92</v>
      </c>
      <c r="L215" s="34"/>
      <c r="M215" s="21"/>
      <c r="N215" s="32">
        <f t="shared" si="85"/>
        <v>268204.18450999999</v>
      </c>
      <c r="O215" s="33">
        <f t="shared" si="82"/>
        <v>7.507002802223578E-2</v>
      </c>
    </row>
    <row r="216" spans="2:15" s="22" customFormat="1" ht="24.75" customHeight="1" x14ac:dyDescent="0.2">
      <c r="B216" s="150" t="s">
        <v>188</v>
      </c>
      <c r="C216" s="148">
        <v>6.7</v>
      </c>
      <c r="D216" s="166">
        <v>39976</v>
      </c>
      <c r="E216" s="166">
        <v>49700</v>
      </c>
      <c r="F216" s="149">
        <v>45504</v>
      </c>
      <c r="G216" s="174">
        <f t="shared" si="83"/>
        <v>4136</v>
      </c>
      <c r="H216" s="208">
        <f t="shared" si="81"/>
        <v>11.488888888888889</v>
      </c>
      <c r="I216" s="194">
        <f t="shared" si="84"/>
        <v>7031253023.5199995</v>
      </c>
      <c r="J216" s="196">
        <f>1471187.91+228824.91</f>
        <v>1700012.8199999998</v>
      </c>
      <c r="K216" s="183">
        <f>1463831.97+227680.79</f>
        <v>1691512.76</v>
      </c>
      <c r="L216" s="34"/>
      <c r="M216" s="21"/>
      <c r="N216" s="32">
        <f t="shared" si="85"/>
        <v>113900.85893999999</v>
      </c>
      <c r="O216" s="33">
        <f t="shared" si="82"/>
        <v>6.7336683253870336E-2</v>
      </c>
    </row>
    <row r="217" spans="2:15" s="22" customFormat="1" ht="24.75" customHeight="1" x14ac:dyDescent="0.2">
      <c r="B217" s="150" t="s">
        <v>189</v>
      </c>
      <c r="C217" s="148">
        <v>6.7</v>
      </c>
      <c r="D217" s="166">
        <v>39979</v>
      </c>
      <c r="E217" s="166">
        <v>49700</v>
      </c>
      <c r="F217" s="149">
        <v>45504</v>
      </c>
      <c r="G217" s="174">
        <f t="shared" si="83"/>
        <v>4136</v>
      </c>
      <c r="H217" s="208">
        <f t="shared" si="81"/>
        <v>11.488888888888889</v>
      </c>
      <c r="I217" s="194">
        <f t="shared" si="84"/>
        <v>6182619072.0799999</v>
      </c>
      <c r="J217" s="196">
        <v>1494830.53</v>
      </c>
      <c r="K217" s="183">
        <v>1491093.45</v>
      </c>
      <c r="L217" s="34"/>
      <c r="M217" s="21"/>
      <c r="N217" s="32">
        <f t="shared" si="85"/>
        <v>100153.64551</v>
      </c>
      <c r="O217" s="33">
        <f t="shared" si="82"/>
        <v>6.7167919965043107E-2</v>
      </c>
    </row>
    <row r="218" spans="2:15" s="22" customFormat="1" ht="24.75" customHeight="1" x14ac:dyDescent="0.2">
      <c r="B218" s="150" t="s">
        <v>190</v>
      </c>
      <c r="C218" s="148">
        <v>6.7</v>
      </c>
      <c r="D218" s="166">
        <v>40056</v>
      </c>
      <c r="E218" s="166">
        <v>49700</v>
      </c>
      <c r="F218" s="149">
        <v>45504</v>
      </c>
      <c r="G218" s="174">
        <f t="shared" si="83"/>
        <v>4136</v>
      </c>
      <c r="H218" s="208">
        <f t="shared" si="81"/>
        <v>11.488888888888889</v>
      </c>
      <c r="I218" s="194">
        <f t="shared" si="84"/>
        <v>13896960000</v>
      </c>
      <c r="J218" s="196">
        <f>2931000+429000</f>
        <v>3360000</v>
      </c>
      <c r="K218" s="183">
        <f>3011602.5+440797.5</f>
        <v>3452400</v>
      </c>
      <c r="L218" s="34"/>
      <c r="M218" s="21"/>
      <c r="N218" s="32">
        <f t="shared" si="85"/>
        <v>225120</v>
      </c>
      <c r="O218" s="33">
        <f t="shared" si="82"/>
        <v>6.5206812652068125E-2</v>
      </c>
    </row>
    <row r="219" spans="2:15" s="22" customFormat="1" ht="24.75" customHeight="1" x14ac:dyDescent="0.2">
      <c r="B219" s="150" t="s">
        <v>191</v>
      </c>
      <c r="C219" s="148">
        <v>6.7</v>
      </c>
      <c r="D219" s="166">
        <v>40218</v>
      </c>
      <c r="E219" s="166">
        <v>49700</v>
      </c>
      <c r="F219" s="149">
        <v>45504</v>
      </c>
      <c r="G219" s="174">
        <f t="shared" si="83"/>
        <v>4136</v>
      </c>
      <c r="H219" s="208">
        <f t="shared" si="81"/>
        <v>11.488888888888889</v>
      </c>
      <c r="I219" s="194">
        <f t="shared" si="84"/>
        <v>12399314400</v>
      </c>
      <c r="J219" s="196">
        <f>2411000+586900</f>
        <v>2997900</v>
      </c>
      <c r="K219" s="183">
        <f>2459220+598638</f>
        <v>3057858</v>
      </c>
      <c r="L219" s="34"/>
      <c r="M219" s="21"/>
      <c r="N219" s="32">
        <f t="shared" si="85"/>
        <v>200859.3</v>
      </c>
      <c r="O219" s="33">
        <f t="shared" si="82"/>
        <v>6.5686274509803924E-2</v>
      </c>
    </row>
    <row r="220" spans="2:15" s="22" customFormat="1" ht="24.75" customHeight="1" x14ac:dyDescent="0.2">
      <c r="B220" s="150" t="s">
        <v>192</v>
      </c>
      <c r="C220" s="148">
        <v>6.7</v>
      </c>
      <c r="D220" s="166">
        <v>40218</v>
      </c>
      <c r="E220" s="166">
        <v>49700</v>
      </c>
      <c r="F220" s="149">
        <v>45504</v>
      </c>
      <c r="G220" s="174">
        <f t="shared" si="83"/>
        <v>4136</v>
      </c>
      <c r="H220" s="208">
        <f t="shared" si="81"/>
        <v>11.488888888888889</v>
      </c>
      <c r="I220" s="194">
        <f t="shared" si="84"/>
        <v>22605308000</v>
      </c>
      <c r="J220" s="196">
        <f>4900000+565500</f>
        <v>5465500</v>
      </c>
      <c r="K220" s="183">
        <f>5007800+577941</f>
        <v>5585741</v>
      </c>
      <c r="L220" s="34"/>
      <c r="M220" s="21"/>
      <c r="N220" s="32">
        <f t="shared" si="85"/>
        <v>366188.5</v>
      </c>
      <c r="O220" s="33">
        <f t="shared" si="82"/>
        <v>6.5557729941291581E-2</v>
      </c>
    </row>
    <row r="221" spans="2:15" s="22" customFormat="1" ht="24.75" customHeight="1" x14ac:dyDescent="0.2">
      <c r="B221" s="150" t="s">
        <v>193</v>
      </c>
      <c r="C221" s="148">
        <v>6.7</v>
      </c>
      <c r="D221" s="166">
        <v>40238</v>
      </c>
      <c r="E221" s="166">
        <v>49700</v>
      </c>
      <c r="F221" s="149">
        <v>45504</v>
      </c>
      <c r="G221" s="174">
        <f t="shared" si="83"/>
        <v>4136</v>
      </c>
      <c r="H221" s="208">
        <f t="shared" si="81"/>
        <v>11.488888888888889</v>
      </c>
      <c r="I221" s="194">
        <f t="shared" si="84"/>
        <v>5174136000</v>
      </c>
      <c r="J221" s="196">
        <v>1251000</v>
      </c>
      <c r="K221" s="183">
        <v>1322932.5</v>
      </c>
      <c r="L221" s="34"/>
      <c r="M221" s="21"/>
      <c r="N221" s="32">
        <f t="shared" si="85"/>
        <v>83817</v>
      </c>
      <c r="O221" s="33">
        <f t="shared" si="82"/>
        <v>6.3356973995271862E-2</v>
      </c>
    </row>
    <row r="222" spans="2:15" s="22" customFormat="1" ht="24.75" customHeight="1" x14ac:dyDescent="0.2">
      <c r="B222" s="150" t="s">
        <v>194</v>
      </c>
      <c r="C222" s="148">
        <v>6.7</v>
      </c>
      <c r="D222" s="166">
        <v>40238</v>
      </c>
      <c r="E222" s="166">
        <v>49700</v>
      </c>
      <c r="F222" s="149">
        <v>45504</v>
      </c>
      <c r="G222" s="174">
        <f t="shared" si="83"/>
        <v>4136</v>
      </c>
      <c r="H222" s="208">
        <f t="shared" si="81"/>
        <v>11.488888888888889</v>
      </c>
      <c r="I222" s="194">
        <f t="shared" si="84"/>
        <v>4136000000</v>
      </c>
      <c r="J222" s="196">
        <v>1000000</v>
      </c>
      <c r="K222" s="183">
        <v>1058000</v>
      </c>
      <c r="L222" s="34"/>
      <c r="M222" s="21"/>
      <c r="N222" s="32">
        <f t="shared" si="85"/>
        <v>67000</v>
      </c>
      <c r="O222" s="33">
        <f t="shared" si="82"/>
        <v>6.3327032136105854E-2</v>
      </c>
    </row>
    <row r="223" spans="2:15" s="22" customFormat="1" ht="24.75" customHeight="1" x14ac:dyDescent="0.2">
      <c r="B223" s="150" t="s">
        <v>195</v>
      </c>
      <c r="C223" s="148">
        <v>6.7</v>
      </c>
      <c r="D223" s="166">
        <v>40238</v>
      </c>
      <c r="E223" s="166">
        <v>49700</v>
      </c>
      <c r="F223" s="149">
        <v>45504</v>
      </c>
      <c r="G223" s="174">
        <f t="shared" si="83"/>
        <v>4136</v>
      </c>
      <c r="H223" s="208">
        <f t="shared" si="81"/>
        <v>11.488888888888889</v>
      </c>
      <c r="I223" s="194">
        <f t="shared" si="84"/>
        <v>8272000000</v>
      </c>
      <c r="J223" s="196">
        <v>2000000</v>
      </c>
      <c r="K223" s="183">
        <v>2117500</v>
      </c>
      <c r="L223" s="34"/>
      <c r="M223" s="21"/>
      <c r="N223" s="32">
        <f t="shared" si="85"/>
        <v>134000</v>
      </c>
      <c r="O223" s="33">
        <f t="shared" si="82"/>
        <v>6.3282172373081466E-2</v>
      </c>
    </row>
    <row r="224" spans="2:15" s="22" customFormat="1" ht="24.75" customHeight="1" x14ac:dyDescent="0.2">
      <c r="B224" s="150" t="s">
        <v>196</v>
      </c>
      <c r="C224" s="148">
        <v>6.7</v>
      </c>
      <c r="D224" s="166">
        <v>41457</v>
      </c>
      <c r="E224" s="166">
        <v>49700</v>
      </c>
      <c r="F224" s="149">
        <v>45504</v>
      </c>
      <c r="G224" s="174">
        <f t="shared" si="83"/>
        <v>4136</v>
      </c>
      <c r="H224" s="208">
        <f t="shared" si="81"/>
        <v>11.488888888888889</v>
      </c>
      <c r="I224" s="194">
        <f t="shared" si="84"/>
        <v>6204000000</v>
      </c>
      <c r="J224" s="196">
        <v>1500000</v>
      </c>
      <c r="K224" s="183">
        <v>1753125</v>
      </c>
      <c r="L224" s="34"/>
      <c r="M224" s="21"/>
      <c r="N224" s="32">
        <f t="shared" si="85"/>
        <v>100500</v>
      </c>
      <c r="O224" s="33">
        <f t="shared" si="82"/>
        <v>5.7326203208556151E-2</v>
      </c>
    </row>
    <row r="225" spans="2:15" s="22" customFormat="1" ht="24.75" customHeight="1" x14ac:dyDescent="0.2">
      <c r="B225" s="150" t="s">
        <v>197</v>
      </c>
      <c r="C225" s="148">
        <v>6.7</v>
      </c>
      <c r="D225" s="166">
        <v>39636</v>
      </c>
      <c r="E225" s="166">
        <v>49700</v>
      </c>
      <c r="F225" s="149">
        <v>45504</v>
      </c>
      <c r="G225" s="174">
        <f t="shared" si="83"/>
        <v>4136</v>
      </c>
      <c r="H225" s="208">
        <f t="shared" si="81"/>
        <v>11.488888888888889</v>
      </c>
      <c r="I225" s="194">
        <f t="shared" si="84"/>
        <v>5331089176.1599998</v>
      </c>
      <c r="J225" s="196">
        <v>1288948.06</v>
      </c>
      <c r="K225" s="183">
        <v>1311504.6499999999</v>
      </c>
      <c r="L225" s="34"/>
      <c r="M225" s="21"/>
      <c r="N225" s="32">
        <f t="shared" si="85"/>
        <v>86359.520019999996</v>
      </c>
      <c r="O225" s="33">
        <f t="shared" si="82"/>
        <v>6.5847665900383962E-2</v>
      </c>
    </row>
    <row r="226" spans="2:15" s="22" customFormat="1" ht="24.75" customHeight="1" x14ac:dyDescent="0.2">
      <c r="B226" s="150" t="s">
        <v>198</v>
      </c>
      <c r="C226" s="148">
        <v>6.7</v>
      </c>
      <c r="D226" s="166">
        <v>39826</v>
      </c>
      <c r="E226" s="166">
        <v>49700</v>
      </c>
      <c r="F226" s="149">
        <v>45504</v>
      </c>
      <c r="G226" s="174">
        <f t="shared" si="83"/>
        <v>4136</v>
      </c>
      <c r="H226" s="208">
        <f t="shared" si="81"/>
        <v>11.488888888888889</v>
      </c>
      <c r="I226" s="194">
        <f t="shared" si="84"/>
        <v>33088000000</v>
      </c>
      <c r="J226" s="196">
        <v>8000000</v>
      </c>
      <c r="K226" s="183">
        <v>7540000</v>
      </c>
      <c r="L226" s="34"/>
      <c r="M226" s="21"/>
      <c r="N226" s="32">
        <f t="shared" si="85"/>
        <v>536000</v>
      </c>
      <c r="O226" s="33">
        <f t="shared" si="82"/>
        <v>7.108753315649867E-2</v>
      </c>
    </row>
    <row r="227" spans="2:15" s="22" customFormat="1" ht="24.75" customHeight="1" x14ac:dyDescent="0.2">
      <c r="B227" s="150" t="s">
        <v>199</v>
      </c>
      <c r="C227" s="148">
        <v>6.7</v>
      </c>
      <c r="D227" s="166">
        <v>39833</v>
      </c>
      <c r="E227" s="166">
        <v>49700</v>
      </c>
      <c r="F227" s="149">
        <v>45504</v>
      </c>
      <c r="G227" s="174">
        <f t="shared" si="83"/>
        <v>4136</v>
      </c>
      <c r="H227" s="208">
        <f t="shared" si="81"/>
        <v>11.488888888888889</v>
      </c>
      <c r="I227" s="194">
        <f t="shared" si="84"/>
        <v>16544000000</v>
      </c>
      <c r="J227" s="196">
        <v>4000000</v>
      </c>
      <c r="K227" s="183">
        <v>3700000</v>
      </c>
      <c r="L227" s="34"/>
      <c r="M227" s="21"/>
      <c r="N227" s="32">
        <f t="shared" si="85"/>
        <v>268000</v>
      </c>
      <c r="O227" s="33">
        <f t="shared" si="82"/>
        <v>7.2432432432432428E-2</v>
      </c>
    </row>
    <row r="228" spans="2:15" s="22" customFormat="1" ht="24.75" customHeight="1" x14ac:dyDescent="0.2">
      <c r="B228" s="150" t="s">
        <v>200</v>
      </c>
      <c r="C228" s="148">
        <v>6.7</v>
      </c>
      <c r="D228" s="166">
        <v>39884</v>
      </c>
      <c r="E228" s="166">
        <v>49700</v>
      </c>
      <c r="F228" s="149">
        <v>45504</v>
      </c>
      <c r="G228" s="174">
        <f t="shared" si="83"/>
        <v>4136</v>
      </c>
      <c r="H228" s="208">
        <f t="shared" si="81"/>
        <v>11.488888888888889</v>
      </c>
      <c r="I228" s="194">
        <f t="shared" si="84"/>
        <v>12408000000</v>
      </c>
      <c r="J228" s="196">
        <v>3000000</v>
      </c>
      <c r="K228" s="183">
        <v>2610000</v>
      </c>
      <c r="L228" s="34"/>
      <c r="M228" s="21"/>
      <c r="N228" s="32">
        <f t="shared" si="85"/>
        <v>201000</v>
      </c>
      <c r="O228" s="33">
        <f t="shared" si="82"/>
        <v>7.7011494252873569E-2</v>
      </c>
    </row>
    <row r="229" spans="2:15" s="22" customFormat="1" ht="24.75" customHeight="1" x14ac:dyDescent="0.2">
      <c r="B229" s="150" t="s">
        <v>201</v>
      </c>
      <c r="C229" s="148">
        <v>6.7</v>
      </c>
      <c r="D229" s="166">
        <v>39911</v>
      </c>
      <c r="E229" s="166">
        <v>49700</v>
      </c>
      <c r="F229" s="149">
        <v>45504</v>
      </c>
      <c r="G229" s="174">
        <f t="shared" si="83"/>
        <v>4136</v>
      </c>
      <c r="H229" s="208">
        <f t="shared" si="81"/>
        <v>11.488888888888889</v>
      </c>
      <c r="I229" s="194">
        <f t="shared" si="84"/>
        <v>6850370936.6400003</v>
      </c>
      <c r="J229" s="196">
        <v>1656279.24</v>
      </c>
      <c r="K229" s="183">
        <v>1478229.22</v>
      </c>
      <c r="L229" s="34"/>
      <c r="M229" s="21"/>
      <c r="N229" s="32">
        <f t="shared" si="85"/>
        <v>110970.70908</v>
      </c>
      <c r="O229" s="33">
        <f t="shared" si="82"/>
        <v>7.5070028097536864E-2</v>
      </c>
    </row>
    <row r="230" spans="2:15" s="22" customFormat="1" ht="24.75" customHeight="1" x14ac:dyDescent="0.2">
      <c r="B230" s="150" t="s">
        <v>202</v>
      </c>
      <c r="C230" s="148">
        <v>6.7</v>
      </c>
      <c r="D230" s="166">
        <v>39925</v>
      </c>
      <c r="E230" s="166">
        <v>49700</v>
      </c>
      <c r="F230" s="149">
        <v>45504</v>
      </c>
      <c r="G230" s="174">
        <f t="shared" si="83"/>
        <v>4136</v>
      </c>
      <c r="H230" s="208">
        <f t="shared" si="81"/>
        <v>11.488888888888889</v>
      </c>
      <c r="I230" s="194">
        <f t="shared" si="84"/>
        <v>8272000000</v>
      </c>
      <c r="J230" s="196">
        <v>2000000</v>
      </c>
      <c r="K230" s="183">
        <v>1882500</v>
      </c>
      <c r="L230" s="34"/>
      <c r="M230" s="21"/>
      <c r="N230" s="32">
        <f t="shared" si="85"/>
        <v>134000</v>
      </c>
      <c r="O230" s="33">
        <f t="shared" si="82"/>
        <v>7.1181938911022577E-2</v>
      </c>
    </row>
    <row r="231" spans="2:15" s="22" customFormat="1" ht="24.75" customHeight="1" x14ac:dyDescent="0.2">
      <c r="B231" s="150" t="s">
        <v>203</v>
      </c>
      <c r="C231" s="148">
        <v>6.7</v>
      </c>
      <c r="D231" s="166">
        <v>39926</v>
      </c>
      <c r="E231" s="166">
        <v>49700</v>
      </c>
      <c r="F231" s="149">
        <v>45504</v>
      </c>
      <c r="G231" s="174">
        <f t="shared" si="83"/>
        <v>4136</v>
      </c>
      <c r="H231" s="208">
        <f t="shared" si="81"/>
        <v>11.488888888888889</v>
      </c>
      <c r="I231" s="194">
        <f t="shared" si="84"/>
        <v>17515960000</v>
      </c>
      <c r="J231" s="196">
        <v>4235000</v>
      </c>
      <c r="K231" s="183">
        <v>3959725</v>
      </c>
      <c r="L231" s="34"/>
      <c r="M231" s="21"/>
      <c r="N231" s="32">
        <f t="shared" si="85"/>
        <v>283745</v>
      </c>
      <c r="O231" s="33">
        <f t="shared" si="82"/>
        <v>7.1657754010695185E-2</v>
      </c>
    </row>
    <row r="232" spans="2:15" s="22" customFormat="1" ht="24.75" customHeight="1" x14ac:dyDescent="0.2">
      <c r="B232" s="150" t="s">
        <v>204</v>
      </c>
      <c r="C232" s="148">
        <v>6.7</v>
      </c>
      <c r="D232" s="166">
        <v>39933</v>
      </c>
      <c r="E232" s="166">
        <v>49700</v>
      </c>
      <c r="F232" s="149">
        <v>45504</v>
      </c>
      <c r="G232" s="174">
        <f t="shared" si="83"/>
        <v>4136</v>
      </c>
      <c r="H232" s="208">
        <f t="shared" si="81"/>
        <v>11.488888888888889</v>
      </c>
      <c r="I232" s="194">
        <f t="shared" si="84"/>
        <v>26884000000</v>
      </c>
      <c r="J232" s="196">
        <v>6500000</v>
      </c>
      <c r="K232" s="183">
        <v>6110000</v>
      </c>
      <c r="L232" s="34"/>
      <c r="M232" s="21"/>
      <c r="N232" s="32">
        <f t="shared" si="85"/>
        <v>435500</v>
      </c>
      <c r="O232" s="33">
        <f t="shared" si="82"/>
        <v>7.1276595744680857E-2</v>
      </c>
    </row>
    <row r="233" spans="2:15" s="22" customFormat="1" ht="24.75" customHeight="1" x14ac:dyDescent="0.2">
      <c r="B233" s="150" t="s">
        <v>36</v>
      </c>
      <c r="C233" s="148">
        <v>6.7</v>
      </c>
      <c r="D233" s="166">
        <v>39946</v>
      </c>
      <c r="E233" s="166">
        <v>49700</v>
      </c>
      <c r="F233" s="149">
        <v>45504</v>
      </c>
      <c r="G233" s="174">
        <f t="shared" si="83"/>
        <v>4136</v>
      </c>
      <c r="H233" s="208">
        <f t="shared" si="81"/>
        <v>11.488888888888889</v>
      </c>
      <c r="I233" s="194">
        <f t="shared" si="84"/>
        <v>31020000000</v>
      </c>
      <c r="J233" s="196">
        <v>7500000</v>
      </c>
      <c r="K233" s="183">
        <v>7406250</v>
      </c>
      <c r="L233" s="34"/>
      <c r="M233" s="21"/>
      <c r="N233" s="32">
        <f t="shared" si="85"/>
        <v>502500</v>
      </c>
      <c r="O233" s="33">
        <f t="shared" si="82"/>
        <v>6.7848101265822788E-2</v>
      </c>
    </row>
    <row r="234" spans="2:15" s="22" customFormat="1" ht="24.75" customHeight="1" x14ac:dyDescent="0.2">
      <c r="B234" s="150" t="s">
        <v>205</v>
      </c>
      <c r="C234" s="148">
        <v>6.7</v>
      </c>
      <c r="D234" s="166">
        <v>39976</v>
      </c>
      <c r="E234" s="166">
        <v>49700</v>
      </c>
      <c r="F234" s="149">
        <v>45504</v>
      </c>
      <c r="G234" s="174">
        <f t="shared" si="83"/>
        <v>4136</v>
      </c>
      <c r="H234" s="208">
        <f t="shared" si="81"/>
        <v>11.488888888888889</v>
      </c>
      <c r="I234" s="194">
        <f t="shared" si="84"/>
        <v>1714834818.4000001</v>
      </c>
      <c r="J234" s="196">
        <v>414611.9</v>
      </c>
      <c r="K234" s="183">
        <v>412538.84</v>
      </c>
      <c r="L234" s="34"/>
      <c r="M234" s="21"/>
      <c r="N234" s="32">
        <f t="shared" si="85"/>
        <v>27778.997300000003</v>
      </c>
      <c r="O234" s="33">
        <f t="shared" si="82"/>
        <v>6.7336683498697966E-2</v>
      </c>
    </row>
    <row r="235" spans="2:15" s="22" customFormat="1" ht="24.75" customHeight="1" x14ac:dyDescent="0.2">
      <c r="B235" s="150" t="s">
        <v>37</v>
      </c>
      <c r="C235" s="148">
        <v>6.7</v>
      </c>
      <c r="D235" s="166">
        <v>39979</v>
      </c>
      <c r="E235" s="166">
        <v>49700</v>
      </c>
      <c r="F235" s="149">
        <v>45504</v>
      </c>
      <c r="G235" s="174">
        <f t="shared" si="83"/>
        <v>4136</v>
      </c>
      <c r="H235" s="208">
        <f t="shared" si="81"/>
        <v>11.488888888888889</v>
      </c>
      <c r="I235" s="194">
        <f t="shared" si="84"/>
        <v>4157380927.9200001</v>
      </c>
      <c r="J235" s="196">
        <v>1005169.47</v>
      </c>
      <c r="K235" s="183">
        <v>1002656.55</v>
      </c>
      <c r="L235" s="34"/>
      <c r="M235" s="21"/>
      <c r="N235" s="32">
        <f t="shared" si="85"/>
        <v>67346.354489999998</v>
      </c>
      <c r="O235" s="33">
        <f t="shared" si="82"/>
        <v>6.7167919553310654E-2</v>
      </c>
    </row>
    <row r="236" spans="2:15" s="22" customFormat="1" ht="24.75" customHeight="1" x14ac:dyDescent="0.2">
      <c r="B236" s="150" t="s">
        <v>188</v>
      </c>
      <c r="C236" s="148">
        <v>6.7</v>
      </c>
      <c r="D236" s="166">
        <v>39983</v>
      </c>
      <c r="E236" s="166">
        <v>49700</v>
      </c>
      <c r="F236" s="149">
        <v>45504</v>
      </c>
      <c r="G236" s="174">
        <f t="shared" si="83"/>
        <v>4136</v>
      </c>
      <c r="H236" s="208">
        <f t="shared" si="81"/>
        <v>11.488888888888889</v>
      </c>
      <c r="I236" s="194">
        <f t="shared" si="84"/>
        <v>6204000000</v>
      </c>
      <c r="J236" s="196">
        <v>1500000</v>
      </c>
      <c r="K236" s="183">
        <v>1496250</v>
      </c>
      <c r="L236" s="34"/>
      <c r="M236" s="21"/>
      <c r="N236" s="32">
        <f t="shared" si="85"/>
        <v>100500</v>
      </c>
      <c r="O236" s="33">
        <f t="shared" si="82"/>
        <v>6.7167919799498751E-2</v>
      </c>
    </row>
    <row r="237" spans="2:15" s="22" customFormat="1" ht="24.75" customHeight="1" x14ac:dyDescent="0.2">
      <c r="B237" s="150" t="s">
        <v>206</v>
      </c>
      <c r="C237" s="148">
        <v>6.7</v>
      </c>
      <c r="D237" s="166">
        <v>40056</v>
      </c>
      <c r="E237" s="166">
        <v>49700</v>
      </c>
      <c r="F237" s="149">
        <v>45504</v>
      </c>
      <c r="G237" s="174">
        <f t="shared" si="83"/>
        <v>4136</v>
      </c>
      <c r="H237" s="208">
        <f t="shared" si="81"/>
        <v>11.488888888888889</v>
      </c>
      <c r="I237" s="194">
        <f t="shared" si="84"/>
        <v>2096952000</v>
      </c>
      <c r="J237" s="196">
        <v>507000</v>
      </c>
      <c r="K237" s="183">
        <v>520942.5</v>
      </c>
      <c r="L237" s="34"/>
      <c r="M237" s="21"/>
      <c r="N237" s="32">
        <f t="shared" si="85"/>
        <v>33969</v>
      </c>
      <c r="O237" s="33">
        <f t="shared" si="82"/>
        <v>6.5206812652068125E-2</v>
      </c>
    </row>
    <row r="238" spans="2:15" s="22" customFormat="1" ht="24.75" customHeight="1" x14ac:dyDescent="0.2">
      <c r="B238" s="150" t="s">
        <v>207</v>
      </c>
      <c r="C238" s="148">
        <v>6.7</v>
      </c>
      <c r="D238" s="166">
        <v>40217</v>
      </c>
      <c r="E238" s="166">
        <v>49700</v>
      </c>
      <c r="F238" s="149">
        <v>45504</v>
      </c>
      <c r="G238" s="174">
        <f t="shared" si="83"/>
        <v>4136</v>
      </c>
      <c r="H238" s="208">
        <f t="shared" si="81"/>
        <v>11.488888888888889</v>
      </c>
      <c r="I238" s="194">
        <f t="shared" si="84"/>
        <v>12496993650.24</v>
      </c>
      <c r="J238" s="196">
        <v>3021516.84</v>
      </c>
      <c r="K238" s="183">
        <v>3081947.18</v>
      </c>
      <c r="L238" s="34"/>
      <c r="M238" s="21"/>
      <c r="N238" s="32">
        <f t="shared" si="85"/>
        <v>202441.62827999998</v>
      </c>
      <c r="O238" s="33">
        <f t="shared" si="82"/>
        <v>6.568627444160155E-2</v>
      </c>
    </row>
    <row r="239" spans="2:15" s="22" customFormat="1" ht="30.75" customHeight="1" x14ac:dyDescent="0.2">
      <c r="B239" s="150" t="s">
        <v>208</v>
      </c>
      <c r="C239" s="148">
        <v>6.7</v>
      </c>
      <c r="D239" s="166">
        <v>40269</v>
      </c>
      <c r="E239" s="166">
        <v>49700</v>
      </c>
      <c r="F239" s="149">
        <v>45504</v>
      </c>
      <c r="G239" s="174">
        <f t="shared" si="83"/>
        <v>4136</v>
      </c>
      <c r="H239" s="208">
        <f t="shared" si="81"/>
        <v>11.488888888888889</v>
      </c>
      <c r="I239" s="194">
        <f t="shared" si="84"/>
        <v>359832000000</v>
      </c>
      <c r="J239" s="196">
        <v>87000000</v>
      </c>
      <c r="K239" s="183">
        <v>91785000</v>
      </c>
      <c r="L239" s="34"/>
      <c r="M239" s="21"/>
      <c r="N239" s="32">
        <f t="shared" si="85"/>
        <v>5829000</v>
      </c>
      <c r="O239" s="33">
        <f t="shared" si="82"/>
        <v>6.350710900473934E-2</v>
      </c>
    </row>
    <row r="240" spans="2:15" s="22" customFormat="1" ht="24.75" customHeight="1" x14ac:dyDescent="0.2">
      <c r="B240" s="150"/>
      <c r="C240" s="148"/>
      <c r="D240" s="166"/>
      <c r="E240" s="166"/>
      <c r="F240" s="149"/>
      <c r="G240" s="174"/>
      <c r="H240" s="208"/>
      <c r="I240" s="194"/>
      <c r="J240" s="196"/>
      <c r="K240" s="183"/>
      <c r="L240" s="34"/>
      <c r="M240" s="21"/>
      <c r="N240" s="32"/>
      <c r="O240" s="33"/>
    </row>
    <row r="241" spans="2:15" s="22" customFormat="1" ht="24.75" customHeight="1" x14ac:dyDescent="0.2">
      <c r="B241" s="163" t="s">
        <v>209</v>
      </c>
      <c r="C241" s="151"/>
      <c r="D241" s="166"/>
      <c r="E241" s="166"/>
      <c r="F241" s="149"/>
      <c r="G241" s="173">
        <f>+I241/J241</f>
        <v>4140</v>
      </c>
      <c r="H241" s="208">
        <f t="shared" ref="H241:H242" si="86">+G241/360</f>
        <v>11.5</v>
      </c>
      <c r="I241" s="189">
        <f>SUM(I242)</f>
        <v>20700000000</v>
      </c>
      <c r="J241" s="218">
        <f>SUM(J242)</f>
        <v>5000000</v>
      </c>
      <c r="K241" s="184">
        <f>SUM(K242)</f>
        <v>4832500</v>
      </c>
      <c r="L241" s="34"/>
      <c r="M241" s="21"/>
      <c r="N241" s="27">
        <f>SUM(N242)</f>
        <v>343750</v>
      </c>
      <c r="O241" s="54">
        <f t="shared" ref="O241:O242" si="87">+N241/K241</f>
        <v>7.113295395757889E-2</v>
      </c>
    </row>
    <row r="242" spans="2:15" s="22" customFormat="1" ht="27.75" customHeight="1" x14ac:dyDescent="0.2">
      <c r="B242" s="150" t="s">
        <v>318</v>
      </c>
      <c r="C242" s="148">
        <v>6.875</v>
      </c>
      <c r="D242" s="166">
        <v>45257</v>
      </c>
      <c r="E242" s="166">
        <v>49705</v>
      </c>
      <c r="F242" s="149">
        <v>45504</v>
      </c>
      <c r="G242" s="174">
        <f t="shared" ref="G242" si="88">DAYS360(F242,E242)</f>
        <v>4140</v>
      </c>
      <c r="H242" s="208">
        <f t="shared" si="86"/>
        <v>11.5</v>
      </c>
      <c r="I242" s="194">
        <f t="shared" ref="I242" si="89">+G242*J242</f>
        <v>20700000000</v>
      </c>
      <c r="J242" s="196">
        <v>5000000</v>
      </c>
      <c r="K242" s="183">
        <v>4832500</v>
      </c>
      <c r="L242" s="34"/>
      <c r="M242" s="21"/>
      <c r="N242" s="32">
        <f>+J242*C242/100</f>
        <v>343750</v>
      </c>
      <c r="O242" s="33">
        <f t="shared" si="87"/>
        <v>7.113295395757889E-2</v>
      </c>
    </row>
    <row r="243" spans="2:15" s="22" customFormat="1" ht="25.5" customHeight="1" x14ac:dyDescent="0.2">
      <c r="B243" s="150"/>
      <c r="C243" s="148"/>
      <c r="D243" s="166"/>
      <c r="E243" s="166"/>
      <c r="F243" s="149"/>
      <c r="G243" s="175"/>
      <c r="H243" s="209"/>
      <c r="I243" s="168"/>
      <c r="J243" s="196"/>
      <c r="K243" s="183"/>
      <c r="L243" s="34"/>
      <c r="M243" s="21"/>
      <c r="N243" s="32"/>
      <c r="O243" s="33"/>
    </row>
    <row r="244" spans="2:15" s="22" customFormat="1" ht="24.75" customHeight="1" x14ac:dyDescent="0.2">
      <c r="B244" s="163" t="s">
        <v>210</v>
      </c>
      <c r="C244" s="145"/>
      <c r="D244" s="165"/>
      <c r="E244" s="165"/>
      <c r="F244" s="146"/>
      <c r="G244" s="173">
        <f>+I244/J244</f>
        <v>4921</v>
      </c>
      <c r="H244" s="208">
        <f t="shared" ref="H244:H247" si="90">+G244/360</f>
        <v>13.669444444444444</v>
      </c>
      <c r="I244" s="189">
        <f>SUM(I245:I247)</f>
        <v>73815000000</v>
      </c>
      <c r="J244" s="218">
        <f>SUM(J245:J247)</f>
        <v>15000000</v>
      </c>
      <c r="K244" s="184">
        <f>SUM(K245:K247)</f>
        <v>15462500</v>
      </c>
      <c r="L244" s="34"/>
      <c r="M244" s="21"/>
      <c r="N244" s="27">
        <f>SUM(N245:N247)</f>
        <v>1200000</v>
      </c>
      <c r="O244" s="54">
        <f t="shared" ref="O244:O247" si="91">+N244/K244</f>
        <v>7.7607113985448672E-2</v>
      </c>
    </row>
    <row r="245" spans="2:15" s="22" customFormat="1" ht="24.75" customHeight="1" x14ac:dyDescent="0.2">
      <c r="B245" s="150" t="s">
        <v>211</v>
      </c>
      <c r="C245" s="148">
        <v>8</v>
      </c>
      <c r="D245" s="166">
        <v>45400</v>
      </c>
      <c r="E245" s="166">
        <v>50496</v>
      </c>
      <c r="F245" s="149">
        <v>45504</v>
      </c>
      <c r="G245" s="174">
        <f t="shared" ref="G245:G247" si="92">DAYS360(F245,E245)</f>
        <v>4921</v>
      </c>
      <c r="H245" s="208">
        <f t="shared" si="90"/>
        <v>13.669444444444444</v>
      </c>
      <c r="I245" s="194">
        <f t="shared" ref="I245:I247" si="93">+G245*J245</f>
        <v>24605000000</v>
      </c>
      <c r="J245" s="196">
        <v>5000000</v>
      </c>
      <c r="K245" s="183">
        <v>5182500</v>
      </c>
      <c r="L245" s="34"/>
      <c r="M245" s="21"/>
      <c r="N245" s="32">
        <f>+J245*C245/100</f>
        <v>400000</v>
      </c>
      <c r="O245" s="33">
        <f t="shared" si="91"/>
        <v>7.7182826821032322E-2</v>
      </c>
    </row>
    <row r="246" spans="2:15" s="22" customFormat="1" ht="24.75" customHeight="1" x14ac:dyDescent="0.2">
      <c r="B246" s="150" t="s">
        <v>212</v>
      </c>
      <c r="C246" s="148">
        <v>8</v>
      </c>
      <c r="D246" s="166">
        <v>45401</v>
      </c>
      <c r="E246" s="166">
        <v>50496</v>
      </c>
      <c r="F246" s="149">
        <v>45504</v>
      </c>
      <c r="G246" s="174">
        <f t="shared" si="92"/>
        <v>4921</v>
      </c>
      <c r="H246" s="208">
        <f t="shared" si="90"/>
        <v>13.669444444444444</v>
      </c>
      <c r="I246" s="194">
        <f t="shared" si="93"/>
        <v>24605000000</v>
      </c>
      <c r="J246" s="196">
        <v>5000000</v>
      </c>
      <c r="K246" s="183">
        <v>5150000</v>
      </c>
      <c r="L246" s="34"/>
      <c r="M246" s="21"/>
      <c r="N246" s="32">
        <f>+J246*C246/100</f>
        <v>400000</v>
      </c>
      <c r="O246" s="33">
        <f t="shared" si="91"/>
        <v>7.7669902912621352E-2</v>
      </c>
    </row>
    <row r="247" spans="2:15" s="22" customFormat="1" ht="27" customHeight="1" x14ac:dyDescent="0.2">
      <c r="B247" s="150" t="s">
        <v>213</v>
      </c>
      <c r="C247" s="148">
        <v>8</v>
      </c>
      <c r="D247" s="166">
        <v>45405</v>
      </c>
      <c r="E247" s="166">
        <v>50496</v>
      </c>
      <c r="F247" s="149">
        <v>45504</v>
      </c>
      <c r="G247" s="174">
        <f t="shared" si="92"/>
        <v>4921</v>
      </c>
      <c r="H247" s="208">
        <f t="shared" si="90"/>
        <v>13.669444444444444</v>
      </c>
      <c r="I247" s="194">
        <f t="shared" si="93"/>
        <v>24605000000</v>
      </c>
      <c r="J247" s="196">
        <v>5000000</v>
      </c>
      <c r="K247" s="183">
        <v>5130000</v>
      </c>
      <c r="L247" s="34"/>
      <c r="M247" s="21"/>
      <c r="N247" s="32">
        <f>+J247*C247/100</f>
        <v>400000</v>
      </c>
      <c r="O247" s="33">
        <f t="shared" si="91"/>
        <v>7.7972709551656916E-2</v>
      </c>
    </row>
    <row r="248" spans="2:15" s="22" customFormat="1" ht="27" customHeight="1" x14ac:dyDescent="0.2">
      <c r="B248" s="150"/>
      <c r="C248" s="148"/>
      <c r="D248" s="166"/>
      <c r="E248" s="166"/>
      <c r="F248" s="149"/>
      <c r="G248" s="175"/>
      <c r="H248" s="209"/>
      <c r="I248" s="168"/>
      <c r="J248" s="196"/>
      <c r="K248" s="183"/>
      <c r="L248" s="34"/>
      <c r="M248" s="21"/>
      <c r="N248" s="32"/>
      <c r="O248" s="33"/>
    </row>
    <row r="249" spans="2:15" s="22" customFormat="1" ht="24" customHeight="1" x14ac:dyDescent="0.2">
      <c r="B249" s="163" t="s">
        <v>214</v>
      </c>
      <c r="C249" s="156"/>
      <c r="D249" s="165"/>
      <c r="E249" s="165"/>
      <c r="F249" s="146"/>
      <c r="G249" s="173">
        <f>+I249/J249</f>
        <v>8205</v>
      </c>
      <c r="H249" s="208">
        <f t="shared" ref="H249:H255" si="94">+G249/360</f>
        <v>22.791666666666668</v>
      </c>
      <c r="I249" s="189">
        <f>SUM(I250:I255)</f>
        <v>1518977778380.8501</v>
      </c>
      <c r="J249" s="218">
        <f>SUM(J250:J255)</f>
        <v>185128309.37</v>
      </c>
      <c r="K249" s="184">
        <f>SUM(K250:K255)</f>
        <v>181214367.50999999</v>
      </c>
      <c r="L249" s="34"/>
      <c r="M249" s="21"/>
      <c r="N249" s="27">
        <f>SUM(N250:N255)</f>
        <v>8330773.9216499999</v>
      </c>
      <c r="O249" s="54">
        <f t="shared" ref="O249:O255" si="95">+N249/K249</f>
        <v>4.5971928363739048E-2</v>
      </c>
    </row>
    <row r="250" spans="2:15" s="22" customFormat="1" ht="24" customHeight="1" x14ac:dyDescent="0.2">
      <c r="B250" s="150" t="s">
        <v>215</v>
      </c>
      <c r="C250" s="148">
        <v>4.5</v>
      </c>
      <c r="D250" s="166">
        <v>42870</v>
      </c>
      <c r="E250" s="166">
        <v>53827</v>
      </c>
      <c r="F250" s="149">
        <v>45504</v>
      </c>
      <c r="G250" s="174">
        <f t="shared" ref="G250:G255" si="96">DAYS360(F250,E250)</f>
        <v>8205</v>
      </c>
      <c r="H250" s="208">
        <f t="shared" si="94"/>
        <v>22.791666666666668</v>
      </c>
      <c r="I250" s="194">
        <f t="shared" ref="I250:I255" si="97">+G250*J250</f>
        <v>1175279551785.4502</v>
      </c>
      <c r="J250" s="224">
        <v>143239433.49000001</v>
      </c>
      <c r="K250" s="183">
        <v>142894226.44999999</v>
      </c>
      <c r="L250" s="34"/>
      <c r="M250" s="21"/>
      <c r="N250" s="32">
        <f t="shared" ref="N250:N255" si="98">+J250*C250/100</f>
        <v>6445774.5070500001</v>
      </c>
      <c r="O250" s="33">
        <f t="shared" si="95"/>
        <v>4.5108711997579806E-2</v>
      </c>
    </row>
    <row r="251" spans="2:15" s="22" customFormat="1" ht="24" customHeight="1" x14ac:dyDescent="0.2">
      <c r="B251" s="150" t="s">
        <v>216</v>
      </c>
      <c r="C251" s="148">
        <v>4.5</v>
      </c>
      <c r="D251" s="166">
        <v>42870</v>
      </c>
      <c r="E251" s="166">
        <v>53827</v>
      </c>
      <c r="F251" s="149">
        <v>45504</v>
      </c>
      <c r="G251" s="174">
        <f t="shared" si="96"/>
        <v>8205</v>
      </c>
      <c r="H251" s="208">
        <f t="shared" si="94"/>
        <v>22.791666666666668</v>
      </c>
      <c r="I251" s="194">
        <f t="shared" si="97"/>
        <v>215743091730.75</v>
      </c>
      <c r="J251" s="196">
        <v>26294100.149999999</v>
      </c>
      <c r="K251" s="183">
        <v>26230731.370000001</v>
      </c>
      <c r="L251" s="34"/>
      <c r="M251" s="21"/>
      <c r="N251" s="32">
        <f t="shared" si="98"/>
        <v>1183234.5067499999</v>
      </c>
      <c r="O251" s="33">
        <f t="shared" si="95"/>
        <v>4.5108711993568786E-2</v>
      </c>
    </row>
    <row r="252" spans="2:15" s="22" customFormat="1" ht="24" customHeight="1" x14ac:dyDescent="0.2">
      <c r="B252" s="150" t="s">
        <v>56</v>
      </c>
      <c r="C252" s="148">
        <v>4.5</v>
      </c>
      <c r="D252" s="166">
        <v>43370</v>
      </c>
      <c r="E252" s="166">
        <v>53827</v>
      </c>
      <c r="F252" s="149">
        <v>45504</v>
      </c>
      <c r="G252" s="174">
        <f t="shared" si="96"/>
        <v>8205</v>
      </c>
      <c r="H252" s="208">
        <f t="shared" si="94"/>
        <v>22.791666666666668</v>
      </c>
      <c r="I252" s="194">
        <f t="shared" si="97"/>
        <v>4880134864.6499996</v>
      </c>
      <c r="J252" s="196">
        <v>594775.73</v>
      </c>
      <c r="K252" s="183">
        <v>590909.68999999994</v>
      </c>
      <c r="L252" s="34"/>
      <c r="M252" s="21"/>
      <c r="N252" s="32">
        <f t="shared" si="98"/>
        <v>26764.907850000003</v>
      </c>
      <c r="O252" s="33">
        <f t="shared" si="95"/>
        <v>4.5294413516894616E-2</v>
      </c>
    </row>
    <row r="253" spans="2:15" s="22" customFormat="1" ht="24" customHeight="1" x14ac:dyDescent="0.2">
      <c r="B253" s="150" t="s">
        <v>217</v>
      </c>
      <c r="C253" s="148">
        <v>4.5</v>
      </c>
      <c r="D253" s="166">
        <v>44810</v>
      </c>
      <c r="E253" s="166">
        <v>53827</v>
      </c>
      <c r="F253" s="149">
        <v>45504</v>
      </c>
      <c r="G253" s="174">
        <f t="shared" si="96"/>
        <v>8205</v>
      </c>
      <c r="H253" s="208">
        <f t="shared" si="94"/>
        <v>22.791666666666668</v>
      </c>
      <c r="I253" s="194">
        <f t="shared" si="97"/>
        <v>41025000000</v>
      </c>
      <c r="J253" s="196">
        <v>5000000</v>
      </c>
      <c r="K253" s="183">
        <v>4062500</v>
      </c>
      <c r="L253" s="34"/>
      <c r="M253" s="21"/>
      <c r="N253" s="32">
        <f t="shared" si="98"/>
        <v>225000</v>
      </c>
      <c r="O253" s="33">
        <f t="shared" si="95"/>
        <v>5.5384615384615386E-2</v>
      </c>
    </row>
    <row r="254" spans="2:15" s="22" customFormat="1" ht="24" customHeight="1" x14ac:dyDescent="0.2">
      <c r="B254" s="150" t="s">
        <v>218</v>
      </c>
      <c r="C254" s="148">
        <v>4.5</v>
      </c>
      <c r="D254" s="166">
        <v>44811</v>
      </c>
      <c r="E254" s="166">
        <v>53827</v>
      </c>
      <c r="F254" s="149">
        <v>45504</v>
      </c>
      <c r="G254" s="174">
        <f t="shared" si="96"/>
        <v>8205</v>
      </c>
      <c r="H254" s="208">
        <f t="shared" si="94"/>
        <v>22.791666666666668</v>
      </c>
      <c r="I254" s="194">
        <f t="shared" si="97"/>
        <v>41025000000</v>
      </c>
      <c r="J254" s="196">
        <v>5000000</v>
      </c>
      <c r="K254" s="183">
        <v>4018500</v>
      </c>
      <c r="L254" s="34"/>
      <c r="M254" s="21"/>
      <c r="N254" s="32">
        <f t="shared" si="98"/>
        <v>225000</v>
      </c>
      <c r="O254" s="33">
        <f t="shared" si="95"/>
        <v>5.5991041433370664E-2</v>
      </c>
    </row>
    <row r="255" spans="2:15" s="22" customFormat="1" ht="24" customHeight="1" x14ac:dyDescent="0.2">
      <c r="B255" s="150" t="s">
        <v>219</v>
      </c>
      <c r="C255" s="148">
        <v>4.5</v>
      </c>
      <c r="D255" s="166">
        <v>45257</v>
      </c>
      <c r="E255" s="166">
        <v>53827</v>
      </c>
      <c r="F255" s="149">
        <v>45504</v>
      </c>
      <c r="G255" s="174">
        <f t="shared" si="96"/>
        <v>8205</v>
      </c>
      <c r="H255" s="208">
        <f t="shared" si="94"/>
        <v>22.791666666666668</v>
      </c>
      <c r="I255" s="194">
        <f t="shared" si="97"/>
        <v>41025000000</v>
      </c>
      <c r="J255" s="196">
        <v>5000000</v>
      </c>
      <c r="K255" s="183">
        <v>3417500</v>
      </c>
      <c r="L255" s="34"/>
      <c r="M255" s="21"/>
      <c r="N255" s="32">
        <f t="shared" si="98"/>
        <v>225000</v>
      </c>
      <c r="O255" s="33">
        <f t="shared" si="95"/>
        <v>6.5837600585223116E-2</v>
      </c>
    </row>
    <row r="256" spans="2:15" s="22" customFormat="1" ht="24" customHeight="1" x14ac:dyDescent="0.2">
      <c r="B256" s="150"/>
      <c r="C256" s="148"/>
      <c r="D256" s="166"/>
      <c r="E256" s="166"/>
      <c r="F256" s="149"/>
      <c r="G256" s="175"/>
      <c r="H256" s="209"/>
      <c r="I256" s="168"/>
      <c r="J256" s="196"/>
      <c r="K256" s="183"/>
      <c r="L256" s="34"/>
      <c r="M256" s="21"/>
      <c r="N256" s="32"/>
      <c r="O256" s="33"/>
    </row>
    <row r="257" spans="2:15" s="22" customFormat="1" ht="24" customHeight="1" x14ac:dyDescent="0.2">
      <c r="B257" s="144" t="s">
        <v>7</v>
      </c>
      <c r="C257" s="156"/>
      <c r="D257" s="167"/>
      <c r="E257" s="167"/>
      <c r="F257" s="152"/>
      <c r="G257" s="173">
        <f>+I257/J257</f>
        <v>9255.9999999999982</v>
      </c>
      <c r="H257" s="208">
        <f t="shared" ref="H257:H262" si="99">+G257/360</f>
        <v>25.711111111111105</v>
      </c>
      <c r="I257" s="189">
        <f>SUM(I258:I262)</f>
        <v>792963573351.03992</v>
      </c>
      <c r="J257" s="218">
        <f>SUM(J258:J262)</f>
        <v>85670221.840000004</v>
      </c>
      <c r="K257" s="184">
        <f>SUM(K258:K262)</f>
        <v>77931884.599999994</v>
      </c>
      <c r="L257" s="34"/>
      <c r="M257" s="21"/>
      <c r="N257" s="27">
        <f>SUM(N258:N262)</f>
        <v>3855159.9827999999</v>
      </c>
      <c r="O257" s="54">
        <f t="shared" ref="O257:O262" si="100">+N257/K257</f>
        <v>4.9468327406520851E-2</v>
      </c>
    </row>
    <row r="258" spans="2:15" s="22" customFormat="1" ht="24" customHeight="1" x14ac:dyDescent="0.2">
      <c r="B258" s="153" t="s">
        <v>8</v>
      </c>
      <c r="C258" s="148">
        <v>4.5</v>
      </c>
      <c r="D258" s="166">
        <v>43206</v>
      </c>
      <c r="E258" s="166">
        <v>54894</v>
      </c>
      <c r="F258" s="149">
        <v>45504</v>
      </c>
      <c r="G258" s="174">
        <f t="shared" ref="G258:G262" si="101">DAYS360(F258,E258)</f>
        <v>9256</v>
      </c>
      <c r="H258" s="208">
        <f t="shared" si="99"/>
        <v>25.711111111111112</v>
      </c>
      <c r="I258" s="194">
        <f t="shared" ref="I258:I262" si="102">+G258*J258</f>
        <v>475946420922.95996</v>
      </c>
      <c r="J258" s="196">
        <v>51420313.409999996</v>
      </c>
      <c r="K258" s="186">
        <v>51198691.859999999</v>
      </c>
      <c r="L258" s="34"/>
      <c r="M258" s="21"/>
      <c r="N258" s="32">
        <f>+J258*C258/100</f>
        <v>2313914.1034499998</v>
      </c>
      <c r="O258" s="33">
        <f t="shared" si="100"/>
        <v>4.5194789542226402E-2</v>
      </c>
    </row>
    <row r="259" spans="2:15" s="22" customFormat="1" ht="24" customHeight="1" x14ac:dyDescent="0.2">
      <c r="B259" s="153" t="s">
        <v>220</v>
      </c>
      <c r="C259" s="148">
        <v>4.5</v>
      </c>
      <c r="D259" s="166">
        <v>43398</v>
      </c>
      <c r="E259" s="166">
        <v>54894</v>
      </c>
      <c r="F259" s="149">
        <v>45504</v>
      </c>
      <c r="G259" s="174">
        <f t="shared" si="101"/>
        <v>9256</v>
      </c>
      <c r="H259" s="208">
        <f t="shared" si="99"/>
        <v>25.711111111111112</v>
      </c>
      <c r="I259" s="194">
        <f t="shared" si="102"/>
        <v>111072000000</v>
      </c>
      <c r="J259" s="196">
        <v>12000000</v>
      </c>
      <c r="K259" s="186">
        <v>11217480</v>
      </c>
      <c r="L259" s="34"/>
      <c r="M259" s="21"/>
      <c r="N259" s="32">
        <f>+J259*C259/100</f>
        <v>540000</v>
      </c>
      <c r="O259" s="33">
        <f t="shared" si="100"/>
        <v>4.8139154248547804E-2</v>
      </c>
    </row>
    <row r="260" spans="2:15" s="22" customFormat="1" ht="24" customHeight="1" x14ac:dyDescent="0.2">
      <c r="B260" s="153" t="s">
        <v>221</v>
      </c>
      <c r="C260" s="148">
        <v>4.5</v>
      </c>
      <c r="D260" s="166">
        <v>44811</v>
      </c>
      <c r="E260" s="166">
        <v>54894</v>
      </c>
      <c r="F260" s="149">
        <v>45504</v>
      </c>
      <c r="G260" s="174">
        <f t="shared" si="101"/>
        <v>9256</v>
      </c>
      <c r="H260" s="208">
        <f t="shared" si="99"/>
        <v>25.711111111111112</v>
      </c>
      <c r="I260" s="194">
        <f t="shared" si="102"/>
        <v>46280000000</v>
      </c>
      <c r="J260" s="196">
        <v>5000000</v>
      </c>
      <c r="K260" s="186">
        <v>3962500</v>
      </c>
      <c r="L260" s="34"/>
      <c r="M260" s="21"/>
      <c r="N260" s="32">
        <f>+J260*C260/100</f>
        <v>225000</v>
      </c>
      <c r="O260" s="33">
        <f t="shared" si="100"/>
        <v>5.6782334384858045E-2</v>
      </c>
    </row>
    <row r="261" spans="2:15" s="22" customFormat="1" ht="24" customHeight="1" x14ac:dyDescent="0.2">
      <c r="B261" s="153" t="s">
        <v>222</v>
      </c>
      <c r="C261" s="148">
        <v>4.5</v>
      </c>
      <c r="D261" s="166">
        <v>45257</v>
      </c>
      <c r="E261" s="166">
        <v>54894</v>
      </c>
      <c r="F261" s="149">
        <v>45504</v>
      </c>
      <c r="G261" s="174">
        <f t="shared" si="101"/>
        <v>9256</v>
      </c>
      <c r="H261" s="208">
        <f t="shared" si="99"/>
        <v>25.711111111111112</v>
      </c>
      <c r="I261" s="194">
        <f t="shared" si="102"/>
        <v>92560000000</v>
      </c>
      <c r="J261" s="196">
        <v>10000000</v>
      </c>
      <c r="K261" s="186">
        <v>6624000</v>
      </c>
      <c r="L261" s="31"/>
      <c r="M261" s="21"/>
      <c r="N261" s="32">
        <f>+J261*C261/100</f>
        <v>450000</v>
      </c>
      <c r="O261" s="33">
        <f t="shared" si="100"/>
        <v>6.7934782608695649E-2</v>
      </c>
    </row>
    <row r="262" spans="2:15" s="22" customFormat="1" ht="19.5" customHeight="1" x14ac:dyDescent="0.2">
      <c r="B262" s="153" t="s">
        <v>60</v>
      </c>
      <c r="C262" s="148">
        <v>4.5</v>
      </c>
      <c r="D262" s="166">
        <v>45261</v>
      </c>
      <c r="E262" s="166">
        <v>54894</v>
      </c>
      <c r="F262" s="149">
        <v>45504</v>
      </c>
      <c r="G262" s="174">
        <f t="shared" si="101"/>
        <v>9256</v>
      </c>
      <c r="H262" s="208">
        <f t="shared" si="99"/>
        <v>25.711111111111112</v>
      </c>
      <c r="I262" s="194">
        <f t="shared" si="102"/>
        <v>67105152428.079994</v>
      </c>
      <c r="J262" s="196">
        <v>7249908.4299999997</v>
      </c>
      <c r="K262" s="186">
        <v>4929212.74</v>
      </c>
      <c r="L262" s="34"/>
      <c r="M262" s="21"/>
      <c r="N262" s="32">
        <f>+J262*C262/100</f>
        <v>326245.87935</v>
      </c>
      <c r="O262" s="33">
        <f t="shared" si="100"/>
        <v>6.6186203874414234E-2</v>
      </c>
    </row>
    <row r="263" spans="2:15" s="22" customFormat="1" ht="19.5" customHeight="1" x14ac:dyDescent="0.2">
      <c r="B263" s="153"/>
      <c r="C263" s="148"/>
      <c r="D263" s="166"/>
      <c r="E263" s="166"/>
      <c r="F263" s="149"/>
      <c r="G263" s="175"/>
      <c r="H263" s="209"/>
      <c r="I263" s="168"/>
      <c r="J263" s="196"/>
      <c r="K263" s="186"/>
      <c r="L263" s="34"/>
      <c r="M263" s="21"/>
      <c r="N263" s="32"/>
      <c r="O263" s="33"/>
    </row>
    <row r="264" spans="2:15" s="22" customFormat="1" ht="24" customHeight="1" x14ac:dyDescent="0.2">
      <c r="B264" s="163" t="s">
        <v>223</v>
      </c>
      <c r="C264" s="156"/>
      <c r="D264" s="165"/>
      <c r="E264" s="165"/>
      <c r="F264" s="146"/>
      <c r="G264" s="173">
        <f>+I264/J264</f>
        <v>10349</v>
      </c>
      <c r="H264" s="208">
        <f t="shared" ref="H264:H267" si="103">+G264/360</f>
        <v>28.747222222222224</v>
      </c>
      <c r="I264" s="189">
        <f>SUM(I265:I267)</f>
        <v>1543919624602.2302</v>
      </c>
      <c r="J264" s="218">
        <f>SUM(J265:J267)</f>
        <v>149185392.27000001</v>
      </c>
      <c r="K264" s="184">
        <f>SUM(K265:K267)</f>
        <v>168053671.27000001</v>
      </c>
      <c r="L264" s="34"/>
      <c r="M264" s="21"/>
      <c r="N264" s="27">
        <f>SUM(N265:N267)</f>
        <v>6414971.8676100001</v>
      </c>
      <c r="O264" s="54">
        <f t="shared" ref="O264:O267" si="104">+N264/K264</f>
        <v>3.8172161423974581E-2</v>
      </c>
    </row>
    <row r="265" spans="2:15" s="22" customFormat="1" ht="24" customHeight="1" x14ac:dyDescent="0.2">
      <c r="B265" s="150" t="s">
        <v>224</v>
      </c>
      <c r="C265" s="148">
        <v>4.3</v>
      </c>
      <c r="D265" s="166">
        <v>41484</v>
      </c>
      <c r="E265" s="166">
        <v>56003</v>
      </c>
      <c r="F265" s="149">
        <v>45504</v>
      </c>
      <c r="G265" s="174">
        <f t="shared" ref="G265:G267" si="105">DAYS360(F265,E265)</f>
        <v>10349</v>
      </c>
      <c r="H265" s="208">
        <f t="shared" si="103"/>
        <v>28.747222222222224</v>
      </c>
      <c r="I265" s="194">
        <f t="shared" ref="I265:I267" si="106">+G265*J265</f>
        <v>10349000000</v>
      </c>
      <c r="J265" s="196">
        <v>1000000</v>
      </c>
      <c r="K265" s="183">
        <v>845000</v>
      </c>
      <c r="L265" s="34"/>
      <c r="M265" s="21"/>
      <c r="N265" s="32">
        <f>+J265*C265/100</f>
        <v>43000</v>
      </c>
      <c r="O265" s="33">
        <f t="shared" si="104"/>
        <v>5.0887573964497043E-2</v>
      </c>
    </row>
    <row r="266" spans="2:15" s="22" customFormat="1" ht="24" customHeight="1" x14ac:dyDescent="0.2">
      <c r="B266" s="150" t="s">
        <v>225</v>
      </c>
      <c r="C266" s="148">
        <v>4.3</v>
      </c>
      <c r="D266" s="166">
        <v>41492</v>
      </c>
      <c r="E266" s="166">
        <v>56003</v>
      </c>
      <c r="F266" s="149">
        <v>45504</v>
      </c>
      <c r="G266" s="174">
        <f t="shared" si="105"/>
        <v>10349</v>
      </c>
      <c r="H266" s="208">
        <f t="shared" si="103"/>
        <v>28.747222222222224</v>
      </c>
      <c r="I266" s="194">
        <f t="shared" si="106"/>
        <v>20698000000</v>
      </c>
      <c r="J266" s="196">
        <v>2000000</v>
      </c>
      <c r="K266" s="183">
        <v>1630000</v>
      </c>
      <c r="L266" s="34"/>
      <c r="M266" s="21"/>
      <c r="N266" s="32">
        <f>+J266*C266/100</f>
        <v>86000</v>
      </c>
      <c r="O266" s="33">
        <f t="shared" si="104"/>
        <v>5.2760736196319019E-2</v>
      </c>
    </row>
    <row r="267" spans="2:15" s="22" customFormat="1" ht="19.5" customHeight="1" x14ac:dyDescent="0.2">
      <c r="B267" s="150" t="s">
        <v>64</v>
      </c>
      <c r="C267" s="148">
        <v>4.3</v>
      </c>
      <c r="D267" s="166">
        <v>43795</v>
      </c>
      <c r="E267" s="166">
        <v>56003</v>
      </c>
      <c r="F267" s="149">
        <v>45504</v>
      </c>
      <c r="G267" s="174">
        <f t="shared" si="105"/>
        <v>10349</v>
      </c>
      <c r="H267" s="208">
        <f t="shared" si="103"/>
        <v>28.747222222222224</v>
      </c>
      <c r="I267" s="194">
        <f t="shared" si="106"/>
        <v>1512872624602.2302</v>
      </c>
      <c r="J267" s="196">
        <v>146185392.27000001</v>
      </c>
      <c r="K267" s="183">
        <v>165578671.27000001</v>
      </c>
      <c r="L267" s="34"/>
      <c r="M267" s="21"/>
      <c r="N267" s="32">
        <f>+J267*C267/100</f>
        <v>6285971.8676100001</v>
      </c>
      <c r="O267" s="33">
        <f t="shared" si="104"/>
        <v>3.7963656909408415E-2</v>
      </c>
    </row>
    <row r="268" spans="2:15" s="22" customFormat="1" ht="19.5" customHeight="1" x14ac:dyDescent="0.2">
      <c r="B268" s="150"/>
      <c r="C268" s="148"/>
      <c r="D268" s="166"/>
      <c r="E268" s="166"/>
      <c r="F268" s="149"/>
      <c r="G268" s="175"/>
      <c r="H268" s="209"/>
      <c r="I268" s="168"/>
      <c r="J268" s="196"/>
      <c r="K268" s="183"/>
      <c r="L268" s="34"/>
      <c r="M268" s="21"/>
      <c r="N268" s="32"/>
      <c r="O268" s="33"/>
    </row>
    <row r="269" spans="2:15" s="22" customFormat="1" ht="24.75" customHeight="1" x14ac:dyDescent="0.2">
      <c r="B269" s="144" t="s">
        <v>65</v>
      </c>
      <c r="C269" s="148"/>
      <c r="D269" s="166"/>
      <c r="E269" s="166"/>
      <c r="F269" s="149"/>
      <c r="G269" s="173">
        <f>+I269/J269</f>
        <v>10678</v>
      </c>
      <c r="H269" s="208">
        <f t="shared" ref="H269:H306" si="107">+G269/360</f>
        <v>29.661111111111111</v>
      </c>
      <c r="I269" s="190">
        <f>SUM(I270:I306)</f>
        <v>2038342941733.1602</v>
      </c>
      <c r="J269" s="219">
        <f>SUM(J270:J306)</f>
        <v>190891828.22</v>
      </c>
      <c r="K269" s="182">
        <f>SUM(K270:K306)</f>
        <v>188474273.54000002</v>
      </c>
      <c r="L269" s="34"/>
      <c r="M269" s="21"/>
      <c r="N269" s="36">
        <f>SUM(N270:N306)</f>
        <v>13079993.784891501</v>
      </c>
      <c r="O269" s="54">
        <f t="shared" ref="O269:O306" si="108">+N269/K269</f>
        <v>6.9399359070167865E-2</v>
      </c>
    </row>
    <row r="270" spans="2:15" s="22" customFormat="1" ht="24.75" customHeight="1" x14ac:dyDescent="0.2">
      <c r="B270" s="150" t="s">
        <v>66</v>
      </c>
      <c r="C270" s="148">
        <v>6.8529999999999998</v>
      </c>
      <c r="D270" s="166">
        <v>45013</v>
      </c>
      <c r="E270" s="166">
        <v>56336</v>
      </c>
      <c r="F270" s="149">
        <v>45504</v>
      </c>
      <c r="G270" s="174">
        <f t="shared" ref="G270:G306" si="109">DAYS360(F270,E270)</f>
        <v>10678</v>
      </c>
      <c r="H270" s="208">
        <f t="shared" si="107"/>
        <v>29.661111111111111</v>
      </c>
      <c r="I270" s="194">
        <f t="shared" ref="I270:I306" si="110">+G270*J270</f>
        <v>370094289424.20001</v>
      </c>
      <c r="J270" s="196">
        <v>34659513.899999999</v>
      </c>
      <c r="K270" s="186">
        <v>34659513.899999999</v>
      </c>
      <c r="L270" s="34"/>
      <c r="M270" s="21"/>
      <c r="N270" s="32">
        <f t="shared" ref="N270:N306" si="111">+J270*C270/100</f>
        <v>2375216.4875669996</v>
      </c>
      <c r="O270" s="33">
        <f t="shared" si="108"/>
        <v>6.8529999999999994E-2</v>
      </c>
    </row>
    <row r="271" spans="2:15" s="22" customFormat="1" ht="24.75" customHeight="1" x14ac:dyDescent="0.2">
      <c r="B271" s="150" t="s">
        <v>67</v>
      </c>
      <c r="C271" s="148">
        <v>6.8529999999999998</v>
      </c>
      <c r="D271" s="166">
        <v>45026</v>
      </c>
      <c r="E271" s="166">
        <v>56336</v>
      </c>
      <c r="F271" s="149">
        <v>45504</v>
      </c>
      <c r="G271" s="174">
        <f t="shared" si="109"/>
        <v>10678</v>
      </c>
      <c r="H271" s="208">
        <f t="shared" si="107"/>
        <v>29.661111111111111</v>
      </c>
      <c r="I271" s="194">
        <f t="shared" si="110"/>
        <v>53390000000</v>
      </c>
      <c r="J271" s="196">
        <v>5000000</v>
      </c>
      <c r="K271" s="186">
        <v>5192500</v>
      </c>
      <c r="L271" s="34"/>
      <c r="M271" s="21"/>
      <c r="N271" s="32">
        <f t="shared" si="111"/>
        <v>342650</v>
      </c>
      <c r="O271" s="33">
        <f t="shared" si="108"/>
        <v>6.5989407799711117E-2</v>
      </c>
    </row>
    <row r="272" spans="2:15" s="22" customFormat="1" ht="24.75" customHeight="1" x14ac:dyDescent="0.2">
      <c r="B272" s="150" t="s">
        <v>68</v>
      </c>
      <c r="C272" s="148">
        <v>6.8529999999999998</v>
      </c>
      <c r="D272" s="166">
        <v>45027</v>
      </c>
      <c r="E272" s="166">
        <v>56336</v>
      </c>
      <c r="F272" s="149">
        <v>45504</v>
      </c>
      <c r="G272" s="174">
        <f t="shared" si="109"/>
        <v>10678</v>
      </c>
      <c r="H272" s="208">
        <f t="shared" si="107"/>
        <v>29.661111111111111</v>
      </c>
      <c r="I272" s="194">
        <f t="shared" si="110"/>
        <v>26695000000</v>
      </c>
      <c r="J272" s="196">
        <v>2500000</v>
      </c>
      <c r="K272" s="186">
        <v>2593750</v>
      </c>
      <c r="L272" s="34"/>
      <c r="M272" s="21"/>
      <c r="N272" s="32">
        <f t="shared" si="111"/>
        <v>171325</v>
      </c>
      <c r="O272" s="33">
        <f t="shared" si="108"/>
        <v>6.6053012048192777E-2</v>
      </c>
    </row>
    <row r="273" spans="2:15" s="22" customFormat="1" ht="24.75" customHeight="1" x14ac:dyDescent="0.2">
      <c r="B273" s="150" t="s">
        <v>69</v>
      </c>
      <c r="C273" s="148">
        <v>6.8529999999999998</v>
      </c>
      <c r="D273" s="166">
        <v>45028</v>
      </c>
      <c r="E273" s="166">
        <v>56336</v>
      </c>
      <c r="F273" s="149">
        <v>45504</v>
      </c>
      <c r="G273" s="174">
        <f t="shared" si="109"/>
        <v>10678</v>
      </c>
      <c r="H273" s="208">
        <f t="shared" si="107"/>
        <v>29.661111111111111</v>
      </c>
      <c r="I273" s="194">
        <f t="shared" si="110"/>
        <v>26695000000</v>
      </c>
      <c r="J273" s="196">
        <v>2500000</v>
      </c>
      <c r="K273" s="186">
        <v>2612250</v>
      </c>
      <c r="L273" s="34"/>
      <c r="M273" s="21"/>
      <c r="N273" s="32">
        <f t="shared" si="111"/>
        <v>171325</v>
      </c>
      <c r="O273" s="33">
        <f t="shared" si="108"/>
        <v>6.5585223466360421E-2</v>
      </c>
    </row>
    <row r="274" spans="2:15" s="22" customFormat="1" ht="24.75" customHeight="1" x14ac:dyDescent="0.2">
      <c r="B274" s="150" t="s">
        <v>70</v>
      </c>
      <c r="C274" s="148">
        <v>6.8529999999999998</v>
      </c>
      <c r="D274" s="166">
        <v>45029</v>
      </c>
      <c r="E274" s="166">
        <v>56336</v>
      </c>
      <c r="F274" s="149">
        <v>45504</v>
      </c>
      <c r="G274" s="174">
        <f t="shared" si="109"/>
        <v>10678</v>
      </c>
      <c r="H274" s="208">
        <f t="shared" si="107"/>
        <v>29.661111111111111</v>
      </c>
      <c r="I274" s="194">
        <f t="shared" si="110"/>
        <v>16017000000</v>
      </c>
      <c r="J274" s="196">
        <v>1500000</v>
      </c>
      <c r="K274" s="186">
        <v>1567050</v>
      </c>
      <c r="L274" s="34"/>
      <c r="M274" s="21"/>
      <c r="N274" s="32">
        <f t="shared" si="111"/>
        <v>102795</v>
      </c>
      <c r="O274" s="33">
        <f t="shared" si="108"/>
        <v>6.5597779266775152E-2</v>
      </c>
    </row>
    <row r="275" spans="2:15" s="22" customFormat="1" ht="24.75" customHeight="1" x14ac:dyDescent="0.2">
      <c r="B275" s="150" t="s">
        <v>71</v>
      </c>
      <c r="C275" s="148">
        <v>6.8529999999999998</v>
      </c>
      <c r="D275" s="166">
        <v>45029</v>
      </c>
      <c r="E275" s="166">
        <v>56336</v>
      </c>
      <c r="F275" s="149">
        <v>45504</v>
      </c>
      <c r="G275" s="174">
        <f t="shared" si="109"/>
        <v>10678</v>
      </c>
      <c r="H275" s="208">
        <f t="shared" si="107"/>
        <v>29.661111111111111</v>
      </c>
      <c r="I275" s="194">
        <f t="shared" si="110"/>
        <v>26695000000</v>
      </c>
      <c r="J275" s="196">
        <v>2500000</v>
      </c>
      <c r="K275" s="186">
        <v>2603625</v>
      </c>
      <c r="L275" s="34"/>
      <c r="M275" s="21"/>
      <c r="N275" s="32">
        <f t="shared" si="111"/>
        <v>171325</v>
      </c>
      <c r="O275" s="33">
        <f t="shared" si="108"/>
        <v>6.5802486917278788E-2</v>
      </c>
    </row>
    <row r="276" spans="2:15" s="22" customFormat="1" ht="24.75" customHeight="1" x14ac:dyDescent="0.2">
      <c r="B276" s="150" t="s">
        <v>72</v>
      </c>
      <c r="C276" s="148">
        <v>6.8529999999999998</v>
      </c>
      <c r="D276" s="166">
        <v>45030</v>
      </c>
      <c r="E276" s="166">
        <v>56336</v>
      </c>
      <c r="F276" s="149">
        <v>45504</v>
      </c>
      <c r="G276" s="174">
        <f t="shared" si="109"/>
        <v>10678</v>
      </c>
      <c r="H276" s="208">
        <f t="shared" si="107"/>
        <v>29.661111111111111</v>
      </c>
      <c r="I276" s="194">
        <f t="shared" si="110"/>
        <v>103262552758.96001</v>
      </c>
      <c r="J276" s="196">
        <v>9670589.3200000003</v>
      </c>
      <c r="K276" s="186">
        <v>10038071.710000001</v>
      </c>
      <c r="L276" s="34"/>
      <c r="M276" s="21"/>
      <c r="N276" s="32">
        <f t="shared" si="111"/>
        <v>662725.48609959998</v>
      </c>
      <c r="O276" s="33">
        <f t="shared" si="108"/>
        <v>6.6021194632370273E-2</v>
      </c>
    </row>
    <row r="277" spans="2:15" s="22" customFormat="1" ht="24.75" customHeight="1" x14ac:dyDescent="0.2">
      <c r="B277" s="150" t="s">
        <v>73</v>
      </c>
      <c r="C277" s="148">
        <v>6.8529999999999998</v>
      </c>
      <c r="D277" s="166">
        <v>45036</v>
      </c>
      <c r="E277" s="166">
        <v>56336</v>
      </c>
      <c r="F277" s="149">
        <v>45504</v>
      </c>
      <c r="G277" s="174">
        <f t="shared" si="109"/>
        <v>10678</v>
      </c>
      <c r="H277" s="208">
        <f t="shared" si="107"/>
        <v>29.661111111111111</v>
      </c>
      <c r="I277" s="194">
        <f t="shared" si="110"/>
        <v>26695000000</v>
      </c>
      <c r="J277" s="196">
        <v>2500000</v>
      </c>
      <c r="K277" s="186">
        <v>2551000</v>
      </c>
      <c r="L277" s="34"/>
      <c r="M277" s="21"/>
      <c r="N277" s="32">
        <f t="shared" si="111"/>
        <v>171325</v>
      </c>
      <c r="O277" s="33">
        <f t="shared" si="108"/>
        <v>6.7159937279498233E-2</v>
      </c>
    </row>
    <row r="278" spans="2:15" s="22" customFormat="1" ht="24.75" customHeight="1" x14ac:dyDescent="0.2">
      <c r="B278" s="150" t="s">
        <v>74</v>
      </c>
      <c r="C278" s="148">
        <v>6.8529999999999998</v>
      </c>
      <c r="D278" s="166">
        <v>45037</v>
      </c>
      <c r="E278" s="166">
        <v>56336</v>
      </c>
      <c r="F278" s="149">
        <v>45504</v>
      </c>
      <c r="G278" s="174">
        <f t="shared" si="109"/>
        <v>10678</v>
      </c>
      <c r="H278" s="208">
        <f t="shared" si="107"/>
        <v>29.661111111111111</v>
      </c>
      <c r="I278" s="194">
        <f t="shared" si="110"/>
        <v>106780000000</v>
      </c>
      <c r="J278" s="196">
        <v>10000000</v>
      </c>
      <c r="K278" s="186">
        <v>10264000</v>
      </c>
      <c r="L278" s="34"/>
      <c r="M278" s="21"/>
      <c r="N278" s="32">
        <f t="shared" si="111"/>
        <v>685300</v>
      </c>
      <c r="O278" s="33">
        <f t="shared" si="108"/>
        <v>6.676734216679657E-2</v>
      </c>
    </row>
    <row r="279" spans="2:15" s="22" customFormat="1" ht="24.75" customHeight="1" x14ac:dyDescent="0.2">
      <c r="B279" s="150" t="s">
        <v>75</v>
      </c>
      <c r="C279" s="148">
        <v>6.8529999999999998</v>
      </c>
      <c r="D279" s="166">
        <v>45040</v>
      </c>
      <c r="E279" s="166">
        <v>56336</v>
      </c>
      <c r="F279" s="149">
        <v>45504</v>
      </c>
      <c r="G279" s="174">
        <f t="shared" si="109"/>
        <v>10678</v>
      </c>
      <c r="H279" s="208">
        <f t="shared" si="107"/>
        <v>29.661111111111111</v>
      </c>
      <c r="I279" s="194">
        <f t="shared" si="110"/>
        <v>9076300000</v>
      </c>
      <c r="J279" s="196">
        <v>850000</v>
      </c>
      <c r="K279" s="186">
        <v>865300</v>
      </c>
      <c r="L279" s="34"/>
      <c r="M279" s="21"/>
      <c r="N279" s="32">
        <f t="shared" si="111"/>
        <v>58250.5</v>
      </c>
      <c r="O279" s="33">
        <f t="shared" si="108"/>
        <v>6.7318271119842829E-2</v>
      </c>
    </row>
    <row r="280" spans="2:15" s="22" customFormat="1" ht="24.75" customHeight="1" x14ac:dyDescent="0.2">
      <c r="B280" s="150" t="s">
        <v>76</v>
      </c>
      <c r="C280" s="148">
        <v>6.8529999999999998</v>
      </c>
      <c r="D280" s="166">
        <v>45061</v>
      </c>
      <c r="E280" s="166">
        <v>56336</v>
      </c>
      <c r="F280" s="149">
        <v>45504</v>
      </c>
      <c r="G280" s="174">
        <f t="shared" si="109"/>
        <v>10678</v>
      </c>
      <c r="H280" s="208">
        <f t="shared" si="107"/>
        <v>29.661111111111111</v>
      </c>
      <c r="I280" s="194">
        <f t="shared" si="110"/>
        <v>81195512000</v>
      </c>
      <c r="J280" s="196">
        <v>7604000</v>
      </c>
      <c r="K280" s="186">
        <v>7854932</v>
      </c>
      <c r="L280" s="34"/>
      <c r="M280" s="21"/>
      <c r="N280" s="32">
        <f t="shared" si="111"/>
        <v>521102.12</v>
      </c>
      <c r="O280" s="33">
        <f t="shared" si="108"/>
        <v>6.6340755082284611E-2</v>
      </c>
    </row>
    <row r="281" spans="2:15" s="22" customFormat="1" ht="24.75" customHeight="1" x14ac:dyDescent="0.2">
      <c r="B281" s="150" t="s">
        <v>77</v>
      </c>
      <c r="C281" s="148">
        <v>6.8529999999999998</v>
      </c>
      <c r="D281" s="166">
        <v>45068</v>
      </c>
      <c r="E281" s="166">
        <v>56336</v>
      </c>
      <c r="F281" s="149">
        <v>45504</v>
      </c>
      <c r="G281" s="174">
        <f t="shared" si="109"/>
        <v>10678</v>
      </c>
      <c r="H281" s="208">
        <f t="shared" si="107"/>
        <v>29.661111111111111</v>
      </c>
      <c r="I281" s="194">
        <f t="shared" si="110"/>
        <v>26695000000</v>
      </c>
      <c r="J281" s="196">
        <v>2500000</v>
      </c>
      <c r="K281" s="186">
        <v>2555500</v>
      </c>
      <c r="L281" s="34"/>
      <c r="M281" s="21"/>
      <c r="N281" s="32">
        <f t="shared" si="111"/>
        <v>171325</v>
      </c>
      <c r="O281" s="33">
        <f t="shared" si="108"/>
        <v>6.7041674819017807E-2</v>
      </c>
    </row>
    <row r="282" spans="2:15" s="22" customFormat="1" ht="24.75" customHeight="1" x14ac:dyDescent="0.2">
      <c r="B282" s="150" t="s">
        <v>78</v>
      </c>
      <c r="C282" s="148">
        <v>6.8529999999999998</v>
      </c>
      <c r="D282" s="166">
        <v>45069</v>
      </c>
      <c r="E282" s="166">
        <v>56336</v>
      </c>
      <c r="F282" s="149">
        <v>45504</v>
      </c>
      <c r="G282" s="174">
        <f t="shared" si="109"/>
        <v>10678</v>
      </c>
      <c r="H282" s="208">
        <f t="shared" si="107"/>
        <v>29.661111111111111</v>
      </c>
      <c r="I282" s="194">
        <f t="shared" si="110"/>
        <v>80085000000</v>
      </c>
      <c r="J282" s="196">
        <v>7500000</v>
      </c>
      <c r="K282" s="186">
        <v>7677000</v>
      </c>
      <c r="L282" s="34"/>
      <c r="M282" s="21"/>
      <c r="N282" s="32">
        <f t="shared" si="111"/>
        <v>513975</v>
      </c>
      <c r="O282" s="33">
        <f t="shared" si="108"/>
        <v>6.6949980461117622E-2</v>
      </c>
    </row>
    <row r="283" spans="2:15" s="22" customFormat="1" ht="24.75" customHeight="1" x14ac:dyDescent="0.2">
      <c r="B283" s="150" t="s">
        <v>79</v>
      </c>
      <c r="C283" s="148">
        <v>6.8529999999999998</v>
      </c>
      <c r="D283" s="166">
        <v>45071</v>
      </c>
      <c r="E283" s="166">
        <v>56336</v>
      </c>
      <c r="F283" s="149">
        <v>45504</v>
      </c>
      <c r="G283" s="174">
        <f t="shared" si="109"/>
        <v>10678</v>
      </c>
      <c r="H283" s="208">
        <f t="shared" si="107"/>
        <v>29.661111111111111</v>
      </c>
      <c r="I283" s="194">
        <f t="shared" si="110"/>
        <v>26695000000</v>
      </c>
      <c r="J283" s="196">
        <v>2500000</v>
      </c>
      <c r="K283" s="186">
        <v>2551000</v>
      </c>
      <c r="L283" s="34"/>
      <c r="M283" s="21"/>
      <c r="N283" s="32">
        <f t="shared" si="111"/>
        <v>171325</v>
      </c>
      <c r="O283" s="33">
        <f t="shared" si="108"/>
        <v>6.7159937279498233E-2</v>
      </c>
    </row>
    <row r="284" spans="2:15" s="22" customFormat="1" ht="24.75" customHeight="1" x14ac:dyDescent="0.2">
      <c r="B284" s="150" t="s">
        <v>80</v>
      </c>
      <c r="C284" s="148">
        <v>6.8529999999999998</v>
      </c>
      <c r="D284" s="166">
        <v>45072</v>
      </c>
      <c r="E284" s="166">
        <v>56336</v>
      </c>
      <c r="F284" s="149">
        <v>45504</v>
      </c>
      <c r="G284" s="174">
        <f t="shared" si="109"/>
        <v>10678</v>
      </c>
      <c r="H284" s="208">
        <f t="shared" si="107"/>
        <v>29.661111111111111</v>
      </c>
      <c r="I284" s="194">
        <f t="shared" si="110"/>
        <v>32034000000</v>
      </c>
      <c r="J284" s="196">
        <v>3000000</v>
      </c>
      <c r="K284" s="186">
        <v>3062250</v>
      </c>
      <c r="L284" s="34"/>
      <c r="M284" s="21"/>
      <c r="N284" s="32">
        <f t="shared" si="111"/>
        <v>205590</v>
      </c>
      <c r="O284" s="33">
        <f t="shared" si="108"/>
        <v>6.7136909135439626E-2</v>
      </c>
    </row>
    <row r="285" spans="2:15" s="22" customFormat="1" ht="24.75" customHeight="1" x14ac:dyDescent="0.2">
      <c r="B285" s="150" t="s">
        <v>81</v>
      </c>
      <c r="C285" s="148">
        <v>6.8529999999999998</v>
      </c>
      <c r="D285" s="166">
        <v>45076</v>
      </c>
      <c r="E285" s="166">
        <v>56336</v>
      </c>
      <c r="F285" s="149">
        <v>45504</v>
      </c>
      <c r="G285" s="174">
        <f t="shared" si="109"/>
        <v>10678</v>
      </c>
      <c r="H285" s="208">
        <f t="shared" si="107"/>
        <v>29.661111111111111</v>
      </c>
      <c r="I285" s="194">
        <f t="shared" si="110"/>
        <v>26695000000</v>
      </c>
      <c r="J285" s="196">
        <v>2500000</v>
      </c>
      <c r="K285" s="186">
        <v>2560000</v>
      </c>
      <c r="L285" s="34"/>
      <c r="M285" s="21"/>
      <c r="N285" s="32">
        <f t="shared" si="111"/>
        <v>171325</v>
      </c>
      <c r="O285" s="33">
        <f t="shared" si="108"/>
        <v>6.6923828125000001E-2</v>
      </c>
    </row>
    <row r="286" spans="2:15" s="22" customFormat="1" ht="24.75" customHeight="1" x14ac:dyDescent="0.2">
      <c r="B286" s="150" t="s">
        <v>82</v>
      </c>
      <c r="C286" s="148">
        <v>6.8529999999999998</v>
      </c>
      <c r="D286" s="166">
        <v>45077</v>
      </c>
      <c r="E286" s="166">
        <v>56336</v>
      </c>
      <c r="F286" s="149">
        <v>45504</v>
      </c>
      <c r="G286" s="174">
        <f t="shared" si="109"/>
        <v>10678</v>
      </c>
      <c r="H286" s="208">
        <f t="shared" si="107"/>
        <v>29.661111111111111</v>
      </c>
      <c r="I286" s="194">
        <f t="shared" si="110"/>
        <v>53390000000</v>
      </c>
      <c r="J286" s="196">
        <v>5000000</v>
      </c>
      <c r="K286" s="186">
        <v>5112000</v>
      </c>
      <c r="L286" s="34"/>
      <c r="M286" s="21"/>
      <c r="N286" s="32">
        <f t="shared" si="111"/>
        <v>342650</v>
      </c>
      <c r="O286" s="33">
        <f t="shared" si="108"/>
        <v>6.7028560250391236E-2</v>
      </c>
    </row>
    <row r="287" spans="2:15" s="22" customFormat="1" ht="24.75" customHeight="1" x14ac:dyDescent="0.2">
      <c r="B287" s="150" t="s">
        <v>83</v>
      </c>
      <c r="C287" s="148">
        <v>6.8529999999999998</v>
      </c>
      <c r="D287" s="166">
        <v>45089</v>
      </c>
      <c r="E287" s="166">
        <v>56336</v>
      </c>
      <c r="F287" s="149">
        <v>45504</v>
      </c>
      <c r="G287" s="174">
        <f t="shared" si="109"/>
        <v>10678</v>
      </c>
      <c r="H287" s="208">
        <f t="shared" si="107"/>
        <v>29.661111111111111</v>
      </c>
      <c r="I287" s="194">
        <f t="shared" si="110"/>
        <v>40042500000</v>
      </c>
      <c r="J287" s="196">
        <v>3750000</v>
      </c>
      <c r="K287" s="186">
        <v>3831750</v>
      </c>
      <c r="L287" s="34"/>
      <c r="M287" s="21"/>
      <c r="N287" s="32">
        <f t="shared" si="111"/>
        <v>256987.5</v>
      </c>
      <c r="O287" s="33">
        <f t="shared" si="108"/>
        <v>6.7067919357995692E-2</v>
      </c>
    </row>
    <row r="288" spans="2:15" s="22" customFormat="1" ht="24.75" customHeight="1" x14ac:dyDescent="0.2">
      <c r="B288" s="150" t="s">
        <v>84</v>
      </c>
      <c r="C288" s="148">
        <v>6.8529999999999998</v>
      </c>
      <c r="D288" s="166">
        <v>45097</v>
      </c>
      <c r="E288" s="166">
        <v>56336</v>
      </c>
      <c r="F288" s="149">
        <v>45504</v>
      </c>
      <c r="G288" s="174">
        <f t="shared" si="109"/>
        <v>10678</v>
      </c>
      <c r="H288" s="208">
        <f t="shared" si="107"/>
        <v>29.661111111111111</v>
      </c>
      <c r="I288" s="194">
        <f t="shared" si="110"/>
        <v>53390000000</v>
      </c>
      <c r="J288" s="196">
        <v>5000000</v>
      </c>
      <c r="K288" s="186">
        <v>5148750</v>
      </c>
      <c r="L288" s="34"/>
      <c r="M288" s="21"/>
      <c r="N288" s="32">
        <f t="shared" si="111"/>
        <v>342650</v>
      </c>
      <c r="O288" s="33">
        <f t="shared" si="108"/>
        <v>6.6550133527555233E-2</v>
      </c>
    </row>
    <row r="289" spans="2:15" s="22" customFormat="1" ht="24.75" customHeight="1" x14ac:dyDescent="0.2">
      <c r="B289" s="150" t="s">
        <v>85</v>
      </c>
      <c r="C289" s="148">
        <v>6.8529999999999998</v>
      </c>
      <c r="D289" s="166">
        <v>45103</v>
      </c>
      <c r="E289" s="166">
        <v>56336</v>
      </c>
      <c r="F289" s="149">
        <v>45504</v>
      </c>
      <c r="G289" s="174">
        <f t="shared" si="109"/>
        <v>10678</v>
      </c>
      <c r="H289" s="208">
        <f t="shared" si="107"/>
        <v>29.661111111111111</v>
      </c>
      <c r="I289" s="194">
        <f t="shared" si="110"/>
        <v>53390000000</v>
      </c>
      <c r="J289" s="196">
        <v>5000000</v>
      </c>
      <c r="K289" s="186">
        <v>5185250</v>
      </c>
      <c r="L289" s="34"/>
      <c r="M289" s="21"/>
      <c r="N289" s="32">
        <f t="shared" si="111"/>
        <v>342650</v>
      </c>
      <c r="O289" s="33">
        <f t="shared" si="108"/>
        <v>6.6081673979075259E-2</v>
      </c>
    </row>
    <row r="290" spans="2:15" s="22" customFormat="1" ht="24.75" customHeight="1" x14ac:dyDescent="0.2">
      <c r="B290" s="150" t="s">
        <v>86</v>
      </c>
      <c r="C290" s="148">
        <v>6.8529999999999998</v>
      </c>
      <c r="D290" s="166">
        <v>45104</v>
      </c>
      <c r="E290" s="166">
        <v>56336</v>
      </c>
      <c r="F290" s="149">
        <v>45504</v>
      </c>
      <c r="G290" s="174">
        <f t="shared" si="109"/>
        <v>10678</v>
      </c>
      <c r="H290" s="208">
        <f t="shared" si="107"/>
        <v>29.661111111111111</v>
      </c>
      <c r="I290" s="194">
        <f t="shared" si="110"/>
        <v>53382427482.739998</v>
      </c>
      <c r="J290" s="196">
        <v>4999290.83</v>
      </c>
      <c r="K290" s="186">
        <v>5205112.01</v>
      </c>
      <c r="L290" s="34"/>
      <c r="M290" s="21"/>
      <c r="N290" s="32">
        <f t="shared" si="111"/>
        <v>342601.40057990002</v>
      </c>
      <c r="O290" s="33">
        <f t="shared" si="108"/>
        <v>6.5820178301965113E-2</v>
      </c>
    </row>
    <row r="291" spans="2:15" s="22" customFormat="1" ht="24.75" customHeight="1" x14ac:dyDescent="0.2">
      <c r="B291" s="150" t="s">
        <v>87</v>
      </c>
      <c r="C291" s="148">
        <v>6.8529999999999998</v>
      </c>
      <c r="D291" s="166">
        <v>45106</v>
      </c>
      <c r="E291" s="166">
        <v>56336</v>
      </c>
      <c r="F291" s="149">
        <v>45504</v>
      </c>
      <c r="G291" s="174">
        <f t="shared" si="109"/>
        <v>10678</v>
      </c>
      <c r="H291" s="208">
        <f t="shared" si="107"/>
        <v>29.661111111111111</v>
      </c>
      <c r="I291" s="194">
        <f t="shared" si="110"/>
        <v>26695000000</v>
      </c>
      <c r="J291" s="196">
        <v>2500000</v>
      </c>
      <c r="K291" s="186">
        <v>2613375</v>
      </c>
      <c r="L291" s="34"/>
      <c r="M291" s="21"/>
      <c r="N291" s="32">
        <f t="shared" si="111"/>
        <v>171325</v>
      </c>
      <c r="O291" s="33">
        <f t="shared" si="108"/>
        <v>6.5556990481656863E-2</v>
      </c>
    </row>
    <row r="292" spans="2:15" s="22" customFormat="1" ht="24.75" customHeight="1" x14ac:dyDescent="0.2">
      <c r="B292" s="150" t="s">
        <v>87</v>
      </c>
      <c r="C292" s="148">
        <v>6.8529999999999998</v>
      </c>
      <c r="D292" s="166">
        <v>45110</v>
      </c>
      <c r="E292" s="166">
        <v>56336</v>
      </c>
      <c r="F292" s="149">
        <v>45504</v>
      </c>
      <c r="G292" s="174">
        <f t="shared" si="109"/>
        <v>10678</v>
      </c>
      <c r="H292" s="208">
        <f t="shared" si="107"/>
        <v>29.661111111111111</v>
      </c>
      <c r="I292" s="194">
        <f t="shared" si="110"/>
        <v>26695000000</v>
      </c>
      <c r="J292" s="196">
        <v>2500000</v>
      </c>
      <c r="K292" s="186">
        <v>2610375</v>
      </c>
      <c r="L292" s="34"/>
      <c r="M292" s="21"/>
      <c r="N292" s="32">
        <f t="shared" si="111"/>
        <v>171325</v>
      </c>
      <c r="O292" s="33">
        <f t="shared" si="108"/>
        <v>6.5632332519274056E-2</v>
      </c>
    </row>
    <row r="293" spans="2:15" s="22" customFormat="1" ht="24.75" customHeight="1" x14ac:dyDescent="0.2">
      <c r="B293" s="150" t="s">
        <v>87</v>
      </c>
      <c r="C293" s="148">
        <v>6.8529999999999998</v>
      </c>
      <c r="D293" s="166">
        <v>45112</v>
      </c>
      <c r="E293" s="166">
        <v>56336</v>
      </c>
      <c r="F293" s="149">
        <v>45504</v>
      </c>
      <c r="G293" s="174">
        <f t="shared" si="109"/>
        <v>10678</v>
      </c>
      <c r="H293" s="208">
        <f t="shared" si="107"/>
        <v>29.661111111111111</v>
      </c>
      <c r="I293" s="194">
        <f t="shared" si="110"/>
        <v>43619630000</v>
      </c>
      <c r="J293" s="196">
        <v>4085000</v>
      </c>
      <c r="K293" s="186">
        <v>4261390.3</v>
      </c>
      <c r="L293" s="34"/>
      <c r="M293" s="21"/>
      <c r="N293" s="32">
        <f t="shared" si="111"/>
        <v>279945.05</v>
      </c>
      <c r="O293" s="33">
        <f t="shared" si="108"/>
        <v>6.5693360685595961E-2</v>
      </c>
    </row>
    <row r="294" spans="2:15" s="22" customFormat="1" ht="24.75" customHeight="1" x14ac:dyDescent="0.2">
      <c r="B294" s="150" t="s">
        <v>88</v>
      </c>
      <c r="C294" s="148">
        <v>6.85</v>
      </c>
      <c r="D294" s="166">
        <v>45257</v>
      </c>
      <c r="E294" s="166">
        <v>56336</v>
      </c>
      <c r="F294" s="149">
        <v>45504</v>
      </c>
      <c r="G294" s="174">
        <f t="shared" si="109"/>
        <v>10678</v>
      </c>
      <c r="H294" s="208">
        <f t="shared" si="107"/>
        <v>29.661111111111111</v>
      </c>
      <c r="I294" s="194">
        <f t="shared" si="110"/>
        <v>106780000000</v>
      </c>
      <c r="J294" s="196">
        <v>10000000</v>
      </c>
      <c r="K294" s="186">
        <v>8958500</v>
      </c>
      <c r="L294" s="34"/>
      <c r="M294" s="21"/>
      <c r="N294" s="32">
        <f t="shared" si="111"/>
        <v>685000</v>
      </c>
      <c r="O294" s="33">
        <f t="shared" si="108"/>
        <v>7.6463693698721885E-2</v>
      </c>
    </row>
    <row r="295" spans="2:15" s="22" customFormat="1" ht="24.75" customHeight="1" x14ac:dyDescent="0.2">
      <c r="B295" s="150" t="s">
        <v>89</v>
      </c>
      <c r="C295" s="148">
        <v>6.85</v>
      </c>
      <c r="D295" s="166">
        <v>45257</v>
      </c>
      <c r="E295" s="166">
        <v>56336</v>
      </c>
      <c r="F295" s="149">
        <v>45504</v>
      </c>
      <c r="G295" s="174">
        <f t="shared" si="109"/>
        <v>10678</v>
      </c>
      <c r="H295" s="208">
        <f t="shared" si="107"/>
        <v>29.661111111111111</v>
      </c>
      <c r="I295" s="194">
        <f t="shared" si="110"/>
        <v>53390000000</v>
      </c>
      <c r="J295" s="196">
        <v>5000000</v>
      </c>
      <c r="K295" s="186">
        <v>4485500</v>
      </c>
      <c r="L295" s="34"/>
      <c r="M295" s="21"/>
      <c r="N295" s="32">
        <f t="shared" si="111"/>
        <v>342500</v>
      </c>
      <c r="O295" s="33">
        <f t="shared" si="108"/>
        <v>7.6357150819306649E-2</v>
      </c>
    </row>
    <row r="296" spans="2:15" s="22" customFormat="1" ht="24.75" customHeight="1" x14ac:dyDescent="0.2">
      <c r="B296" s="150" t="s">
        <v>90</v>
      </c>
      <c r="C296" s="148">
        <v>6.85</v>
      </c>
      <c r="D296" s="166">
        <v>45257</v>
      </c>
      <c r="E296" s="166">
        <v>56336</v>
      </c>
      <c r="F296" s="149">
        <v>45504</v>
      </c>
      <c r="G296" s="174">
        <f t="shared" si="109"/>
        <v>10678</v>
      </c>
      <c r="H296" s="208">
        <f t="shared" si="107"/>
        <v>29.661111111111111</v>
      </c>
      <c r="I296" s="194">
        <f t="shared" si="110"/>
        <v>21356000000</v>
      </c>
      <c r="J296" s="196">
        <v>2000000</v>
      </c>
      <c r="K296" s="186">
        <v>1798000</v>
      </c>
      <c r="L296" s="34"/>
      <c r="M296" s="21"/>
      <c r="N296" s="32">
        <f t="shared" si="111"/>
        <v>137000</v>
      </c>
      <c r="O296" s="33">
        <f t="shared" si="108"/>
        <v>7.6195773081201332E-2</v>
      </c>
    </row>
    <row r="297" spans="2:15" s="22" customFormat="1" ht="24.75" customHeight="1" x14ac:dyDescent="0.2">
      <c r="B297" s="150" t="s">
        <v>91</v>
      </c>
      <c r="C297" s="148">
        <v>6.85</v>
      </c>
      <c r="D297" s="166">
        <v>45259</v>
      </c>
      <c r="E297" s="166">
        <v>56336</v>
      </c>
      <c r="F297" s="149">
        <v>45504</v>
      </c>
      <c r="G297" s="174">
        <f t="shared" si="109"/>
        <v>10678</v>
      </c>
      <c r="H297" s="208">
        <f t="shared" si="107"/>
        <v>29.661111111111111</v>
      </c>
      <c r="I297" s="194">
        <f t="shared" si="110"/>
        <v>53390000000</v>
      </c>
      <c r="J297" s="196">
        <v>5000000</v>
      </c>
      <c r="K297" s="186">
        <v>4534500</v>
      </c>
      <c r="L297" s="34"/>
      <c r="M297" s="21"/>
      <c r="N297" s="32">
        <f t="shared" si="111"/>
        <v>342500</v>
      </c>
      <c r="O297" s="33">
        <f t="shared" si="108"/>
        <v>7.5532032197596202E-2</v>
      </c>
    </row>
    <row r="298" spans="2:15" s="22" customFormat="1" ht="24.75" customHeight="1" x14ac:dyDescent="0.2">
      <c r="B298" s="150" t="s">
        <v>226</v>
      </c>
      <c r="C298" s="148">
        <v>6.85</v>
      </c>
      <c r="D298" s="166">
        <v>45260</v>
      </c>
      <c r="E298" s="166">
        <v>56336</v>
      </c>
      <c r="F298" s="149">
        <v>45504</v>
      </c>
      <c r="G298" s="174">
        <f t="shared" si="109"/>
        <v>10678</v>
      </c>
      <c r="H298" s="208">
        <f t="shared" si="107"/>
        <v>29.661111111111111</v>
      </c>
      <c r="I298" s="194">
        <f t="shared" si="110"/>
        <v>53390000000</v>
      </c>
      <c r="J298" s="196">
        <v>5000000</v>
      </c>
      <c r="K298" s="186">
        <v>4549500</v>
      </c>
      <c r="L298" s="34"/>
      <c r="M298" s="21"/>
      <c r="N298" s="32">
        <f t="shared" si="111"/>
        <v>342500</v>
      </c>
      <c r="O298" s="33">
        <f t="shared" si="108"/>
        <v>7.5282998131662823E-2</v>
      </c>
    </row>
    <row r="299" spans="2:15" s="22" customFormat="1" ht="24.75" customHeight="1" x14ac:dyDescent="0.2">
      <c r="B299" s="150" t="s">
        <v>227</v>
      </c>
      <c r="C299" s="148">
        <v>6.85</v>
      </c>
      <c r="D299" s="166">
        <v>45260</v>
      </c>
      <c r="E299" s="166">
        <v>56336</v>
      </c>
      <c r="F299" s="149">
        <v>45504</v>
      </c>
      <c r="G299" s="174">
        <f t="shared" si="109"/>
        <v>10678</v>
      </c>
      <c r="H299" s="208">
        <f t="shared" si="107"/>
        <v>29.661111111111111</v>
      </c>
      <c r="I299" s="194">
        <f t="shared" si="110"/>
        <v>53390000000</v>
      </c>
      <c r="J299" s="196">
        <v>5000000</v>
      </c>
      <c r="K299" s="186">
        <v>4552500</v>
      </c>
      <c r="L299" s="34"/>
      <c r="M299" s="21"/>
      <c r="N299" s="32">
        <f t="shared" si="111"/>
        <v>342500</v>
      </c>
      <c r="O299" s="33">
        <f t="shared" si="108"/>
        <v>7.5233388248215266E-2</v>
      </c>
    </row>
    <row r="300" spans="2:15" s="22" customFormat="1" ht="24.75" customHeight="1" x14ac:dyDescent="0.2">
      <c r="B300" s="150" t="s">
        <v>228</v>
      </c>
      <c r="C300" s="148">
        <v>6.85</v>
      </c>
      <c r="D300" s="166">
        <v>45260</v>
      </c>
      <c r="E300" s="166">
        <v>56336</v>
      </c>
      <c r="F300" s="149">
        <v>45504</v>
      </c>
      <c r="G300" s="174">
        <f t="shared" si="109"/>
        <v>10678</v>
      </c>
      <c r="H300" s="208">
        <f t="shared" si="107"/>
        <v>29.661111111111111</v>
      </c>
      <c r="I300" s="194">
        <f t="shared" si="110"/>
        <v>53390000000</v>
      </c>
      <c r="J300" s="196">
        <v>5000000</v>
      </c>
      <c r="K300" s="186">
        <v>4562000</v>
      </c>
      <c r="L300" s="34"/>
      <c r="M300" s="21"/>
      <c r="N300" s="32">
        <f t="shared" si="111"/>
        <v>342500</v>
      </c>
      <c r="O300" s="33">
        <f t="shared" si="108"/>
        <v>7.5076720736519068E-2</v>
      </c>
    </row>
    <row r="301" spans="2:15" s="22" customFormat="1" ht="24.75" customHeight="1" x14ac:dyDescent="0.2">
      <c r="B301" s="150" t="s">
        <v>229</v>
      </c>
      <c r="C301" s="148">
        <v>6.85</v>
      </c>
      <c r="D301" s="166">
        <v>45261</v>
      </c>
      <c r="E301" s="166">
        <v>56336</v>
      </c>
      <c r="F301" s="149">
        <v>45504</v>
      </c>
      <c r="G301" s="174">
        <f t="shared" si="109"/>
        <v>10678</v>
      </c>
      <c r="H301" s="208">
        <f t="shared" si="107"/>
        <v>29.661111111111111</v>
      </c>
      <c r="I301" s="194">
        <f t="shared" si="110"/>
        <v>53390000000</v>
      </c>
      <c r="J301" s="196">
        <v>5000000</v>
      </c>
      <c r="K301" s="186">
        <v>4564500</v>
      </c>
      <c r="L301" s="34"/>
      <c r="M301" s="21"/>
      <c r="N301" s="32">
        <f t="shared" si="111"/>
        <v>342500</v>
      </c>
      <c r="O301" s="33">
        <f t="shared" si="108"/>
        <v>7.5035600832511776E-2</v>
      </c>
    </row>
    <row r="302" spans="2:15" s="22" customFormat="1" ht="25.5" customHeight="1" x14ac:dyDescent="0.2">
      <c r="B302" s="150" t="s">
        <v>230</v>
      </c>
      <c r="C302" s="148">
        <v>6.85</v>
      </c>
      <c r="D302" s="166">
        <v>45261</v>
      </c>
      <c r="E302" s="166">
        <v>56336</v>
      </c>
      <c r="F302" s="149">
        <v>45504</v>
      </c>
      <c r="G302" s="174">
        <f t="shared" si="109"/>
        <v>10678</v>
      </c>
      <c r="H302" s="208">
        <f t="shared" si="107"/>
        <v>29.661111111111111</v>
      </c>
      <c r="I302" s="194">
        <f t="shared" si="110"/>
        <v>49118800000</v>
      </c>
      <c r="J302" s="196">
        <v>4600000</v>
      </c>
      <c r="K302" s="186">
        <v>4157940</v>
      </c>
      <c r="L302" s="34"/>
      <c r="M302" s="21"/>
      <c r="N302" s="32">
        <f t="shared" si="111"/>
        <v>315100</v>
      </c>
      <c r="O302" s="33">
        <f t="shared" si="108"/>
        <v>7.5782719327359221E-2</v>
      </c>
    </row>
    <row r="303" spans="2:15" s="22" customFormat="1" ht="25.5" customHeight="1" x14ac:dyDescent="0.2">
      <c r="B303" s="150" t="s">
        <v>231</v>
      </c>
      <c r="C303" s="148">
        <v>6.85</v>
      </c>
      <c r="D303" s="166">
        <v>45469</v>
      </c>
      <c r="E303" s="166">
        <v>56336</v>
      </c>
      <c r="F303" s="149">
        <v>45504</v>
      </c>
      <c r="G303" s="174">
        <f t="shared" si="109"/>
        <v>10678</v>
      </c>
      <c r="H303" s="208">
        <f t="shared" si="107"/>
        <v>29.661111111111111</v>
      </c>
      <c r="I303" s="194">
        <f t="shared" si="110"/>
        <v>32034000000</v>
      </c>
      <c r="J303" s="196">
        <v>3000000</v>
      </c>
      <c r="K303" s="186">
        <v>2781300</v>
      </c>
      <c r="L303" s="34"/>
      <c r="M303" s="21"/>
      <c r="N303" s="32">
        <f t="shared" si="111"/>
        <v>205500</v>
      </c>
      <c r="O303" s="33">
        <f t="shared" si="108"/>
        <v>7.3886312156185963E-2</v>
      </c>
    </row>
    <row r="304" spans="2:15" s="22" customFormat="1" ht="25.5" customHeight="1" x14ac:dyDescent="0.2">
      <c r="B304" s="150" t="s">
        <v>92</v>
      </c>
      <c r="C304" s="148">
        <v>6.85</v>
      </c>
      <c r="D304" s="166">
        <v>45475</v>
      </c>
      <c r="E304" s="166">
        <v>56336</v>
      </c>
      <c r="F304" s="149">
        <v>45504</v>
      </c>
      <c r="G304" s="174">
        <f t="shared" si="109"/>
        <v>10678</v>
      </c>
      <c r="H304" s="208">
        <f t="shared" si="107"/>
        <v>29.661111111111111</v>
      </c>
      <c r="I304" s="194">
        <f t="shared" si="110"/>
        <v>53390000000</v>
      </c>
      <c r="J304" s="196">
        <v>5000000</v>
      </c>
      <c r="K304" s="186">
        <v>4631000</v>
      </c>
      <c r="L304" s="34"/>
      <c r="M304" s="21"/>
      <c r="N304" s="32">
        <f t="shared" si="111"/>
        <v>342500</v>
      </c>
      <c r="O304" s="33">
        <f t="shared" si="108"/>
        <v>7.3958108399913625E-2</v>
      </c>
    </row>
    <row r="305" spans="2:15" s="22" customFormat="1" ht="25.5" customHeight="1" x14ac:dyDescent="0.2">
      <c r="B305" s="150" t="s">
        <v>93</v>
      </c>
      <c r="C305" s="148">
        <v>6.85</v>
      </c>
      <c r="D305" s="166">
        <v>45475</v>
      </c>
      <c r="E305" s="166">
        <v>56336</v>
      </c>
      <c r="F305" s="149">
        <v>45504</v>
      </c>
      <c r="G305" s="174">
        <f t="shared" si="109"/>
        <v>10678</v>
      </c>
      <c r="H305" s="208">
        <f t="shared" si="107"/>
        <v>29.661111111111111</v>
      </c>
      <c r="I305" s="194">
        <f t="shared" si="110"/>
        <v>53390000000</v>
      </c>
      <c r="J305" s="196">
        <v>5000000</v>
      </c>
      <c r="K305" s="186">
        <v>4630000</v>
      </c>
      <c r="L305" s="34"/>
      <c r="M305" s="21"/>
      <c r="N305" s="32">
        <f t="shared" si="111"/>
        <v>342500</v>
      </c>
      <c r="O305" s="33">
        <f t="shared" si="108"/>
        <v>7.397408207343413E-2</v>
      </c>
    </row>
    <row r="306" spans="2:15" s="22" customFormat="1" ht="23.25" customHeight="1" x14ac:dyDescent="0.2">
      <c r="B306" s="150" t="s">
        <v>94</v>
      </c>
      <c r="C306" s="148">
        <v>6.85</v>
      </c>
      <c r="D306" s="166">
        <v>45475</v>
      </c>
      <c r="E306" s="166">
        <v>56336</v>
      </c>
      <c r="F306" s="149">
        <v>45504</v>
      </c>
      <c r="G306" s="174">
        <f t="shared" si="109"/>
        <v>10678</v>
      </c>
      <c r="H306" s="208">
        <f t="shared" si="107"/>
        <v>29.661111111111111</v>
      </c>
      <c r="I306" s="194">
        <f t="shared" si="110"/>
        <v>12529930067.259998</v>
      </c>
      <c r="J306" s="196">
        <v>1173434.17</v>
      </c>
      <c r="K306" s="186">
        <v>1093288.6200000001</v>
      </c>
      <c r="L306" s="34"/>
      <c r="M306" s="21"/>
      <c r="N306" s="32">
        <f t="shared" si="111"/>
        <v>80380.240644999998</v>
      </c>
      <c r="O306" s="33">
        <f t="shared" si="108"/>
        <v>7.3521519546229236E-2</v>
      </c>
    </row>
    <row r="307" spans="2:15" s="22" customFormat="1" ht="23.25" customHeight="1" x14ac:dyDescent="0.2">
      <c r="B307" s="150"/>
      <c r="C307" s="148"/>
      <c r="D307" s="166"/>
      <c r="E307" s="166"/>
      <c r="F307" s="149"/>
      <c r="G307" s="175"/>
      <c r="H307" s="209"/>
      <c r="I307" s="168"/>
      <c r="J307" s="196"/>
      <c r="K307" s="186"/>
      <c r="L307" s="34"/>
      <c r="M307" s="21"/>
      <c r="N307" s="32"/>
      <c r="O307" s="33"/>
    </row>
    <row r="308" spans="2:15" s="22" customFormat="1" ht="24.75" customHeight="1" x14ac:dyDescent="0.2">
      <c r="B308" s="144" t="s">
        <v>97</v>
      </c>
      <c r="C308" s="148"/>
      <c r="D308" s="166"/>
      <c r="E308" s="166"/>
      <c r="F308" s="149"/>
      <c r="G308" s="173">
        <f>+I308/J308</f>
        <v>11404</v>
      </c>
      <c r="H308" s="208">
        <f t="shared" ref="H308:H311" si="112">+G308/360</f>
        <v>31.677777777777777</v>
      </c>
      <c r="I308" s="189">
        <f>SUM(I309:I311)</f>
        <v>118031400000</v>
      </c>
      <c r="J308" s="218">
        <f>SUM(J309:J311)</f>
        <v>10350000</v>
      </c>
      <c r="K308" s="184">
        <f>SUM(K309:K311)</f>
        <v>7040250</v>
      </c>
      <c r="L308" s="31"/>
      <c r="M308" s="21"/>
      <c r="N308" s="27">
        <f>SUM(N309:N311)</f>
        <v>465750</v>
      </c>
      <c r="O308" s="54">
        <f t="shared" ref="O308:O311" si="113">+N308/K308</f>
        <v>6.6155321188878236E-2</v>
      </c>
    </row>
    <row r="309" spans="2:15" s="22" customFormat="1" ht="24.75" customHeight="1" x14ac:dyDescent="0.2">
      <c r="B309" s="150" t="s">
        <v>98</v>
      </c>
      <c r="C309" s="148">
        <v>4.5</v>
      </c>
      <c r="D309" s="166">
        <v>45020</v>
      </c>
      <c r="E309" s="166">
        <v>57074</v>
      </c>
      <c r="F309" s="149">
        <v>45504</v>
      </c>
      <c r="G309" s="174">
        <f t="shared" ref="G309:G311" si="114">DAYS360(F309,E309)</f>
        <v>11404</v>
      </c>
      <c r="H309" s="208">
        <f t="shared" si="112"/>
        <v>31.677777777777777</v>
      </c>
      <c r="I309" s="194">
        <f t="shared" ref="I309:I311" si="115">+G309*J309</f>
        <v>32501400000</v>
      </c>
      <c r="J309" s="196">
        <v>2850000</v>
      </c>
      <c r="K309" s="186">
        <v>2168850</v>
      </c>
      <c r="L309" s="31"/>
      <c r="M309" s="21"/>
      <c r="N309" s="32">
        <f>+J309*C309/100</f>
        <v>128250</v>
      </c>
      <c r="O309" s="33">
        <f t="shared" si="113"/>
        <v>5.9132720105124839E-2</v>
      </c>
    </row>
    <row r="310" spans="2:15" s="22" customFormat="1" ht="24.75" customHeight="1" x14ac:dyDescent="0.2">
      <c r="B310" s="150" t="s">
        <v>99</v>
      </c>
      <c r="C310" s="148">
        <v>4.5</v>
      </c>
      <c r="D310" s="166">
        <v>45257</v>
      </c>
      <c r="E310" s="166">
        <v>57074</v>
      </c>
      <c r="F310" s="149">
        <v>45504</v>
      </c>
      <c r="G310" s="174">
        <f t="shared" si="114"/>
        <v>11404</v>
      </c>
      <c r="H310" s="208">
        <f t="shared" si="112"/>
        <v>31.677777777777777</v>
      </c>
      <c r="I310" s="194">
        <f t="shared" si="115"/>
        <v>51318000000</v>
      </c>
      <c r="J310" s="196">
        <v>4500000</v>
      </c>
      <c r="K310" s="186">
        <v>2900700</v>
      </c>
      <c r="L310" s="31"/>
      <c r="M310" s="21"/>
      <c r="N310" s="32">
        <f>+J310*C310/100</f>
        <v>202500</v>
      </c>
      <c r="O310" s="33">
        <f t="shared" si="113"/>
        <v>6.9810735339745578E-2</v>
      </c>
    </row>
    <row r="311" spans="2:15" s="22" customFormat="1" ht="25.5" customHeight="1" x14ac:dyDescent="0.2">
      <c r="B311" s="150" t="s">
        <v>100</v>
      </c>
      <c r="C311" s="148">
        <v>4.5</v>
      </c>
      <c r="D311" s="166">
        <v>45259</v>
      </c>
      <c r="E311" s="166">
        <v>57074</v>
      </c>
      <c r="F311" s="149">
        <v>45504</v>
      </c>
      <c r="G311" s="174">
        <f t="shared" si="114"/>
        <v>11404</v>
      </c>
      <c r="H311" s="208">
        <f t="shared" si="112"/>
        <v>31.677777777777777</v>
      </c>
      <c r="I311" s="194">
        <f t="shared" si="115"/>
        <v>34212000000</v>
      </c>
      <c r="J311" s="196">
        <v>3000000</v>
      </c>
      <c r="K311" s="186">
        <v>1970700</v>
      </c>
      <c r="L311" s="31"/>
      <c r="M311" s="21"/>
      <c r="N311" s="32">
        <f>+J311*C311/100</f>
        <v>135000</v>
      </c>
      <c r="O311" s="33">
        <f t="shared" si="113"/>
        <v>6.8503577409042476E-2</v>
      </c>
    </row>
    <row r="312" spans="2:15" s="22" customFormat="1" ht="25.5" customHeight="1" x14ac:dyDescent="0.2">
      <c r="B312" s="150"/>
      <c r="C312" s="148"/>
      <c r="D312" s="166"/>
      <c r="E312" s="166"/>
      <c r="F312" s="149"/>
      <c r="G312" s="175"/>
      <c r="H312" s="209"/>
      <c r="I312" s="168"/>
      <c r="J312" s="196"/>
      <c r="K312" s="186"/>
      <c r="L312" s="31"/>
      <c r="M312" s="21"/>
      <c r="N312" s="32"/>
      <c r="O312" s="33"/>
    </row>
    <row r="313" spans="2:15" s="22" customFormat="1" ht="24" customHeight="1" x14ac:dyDescent="0.2">
      <c r="B313" s="144" t="s">
        <v>102</v>
      </c>
      <c r="C313" s="148"/>
      <c r="D313" s="166"/>
      <c r="E313" s="166"/>
      <c r="F313" s="149"/>
      <c r="G313" s="173">
        <f>+I313/J313</f>
        <v>11730.999999999998</v>
      </c>
      <c r="H313" s="208">
        <f t="shared" ref="H313:H339" si="116">+G313/360</f>
        <v>32.586111111111109</v>
      </c>
      <c r="I313" s="189">
        <f>SUM(I314:I339)</f>
        <v>1369422154118.4199</v>
      </c>
      <c r="J313" s="218">
        <f>SUM(J314:J339)</f>
        <v>116735329.82000001</v>
      </c>
      <c r="K313" s="184">
        <f>SUM(K314:K339)</f>
        <v>115825383.97</v>
      </c>
      <c r="L313" s="31"/>
      <c r="M313" s="21"/>
      <c r="N313" s="27">
        <f>SUM(N314:N339)</f>
        <v>9193420.2975990009</v>
      </c>
      <c r="O313" s="54">
        <f t="shared" ref="O313:O339" si="117">+N313/K313</f>
        <v>7.9373104430892225E-2</v>
      </c>
    </row>
    <row r="314" spans="2:15" s="22" customFormat="1" ht="24" customHeight="1" x14ac:dyDescent="0.2">
      <c r="B314" s="150" t="s">
        <v>115</v>
      </c>
      <c r="C314" s="148">
        <v>7.875</v>
      </c>
      <c r="D314" s="166">
        <v>45398</v>
      </c>
      <c r="E314" s="166">
        <v>57405</v>
      </c>
      <c r="F314" s="149">
        <v>45504</v>
      </c>
      <c r="G314" s="174">
        <f t="shared" ref="G314:G339" si="118">DAYS360(F314,E314)</f>
        <v>11731</v>
      </c>
      <c r="H314" s="208">
        <f t="shared" si="116"/>
        <v>32.586111111111109</v>
      </c>
      <c r="I314" s="194">
        <f t="shared" ref="I314:I339" si="119">+G314*J314</f>
        <v>58515072045.450005</v>
      </c>
      <c r="J314" s="196">
        <v>4988071.95</v>
      </c>
      <c r="K314" s="186">
        <v>5047829.05</v>
      </c>
      <c r="L314" s="31"/>
      <c r="M314" s="21"/>
      <c r="N314" s="32">
        <f t="shared" ref="N314:N339" si="120">+J314*C314/100</f>
        <v>392810.66606250004</v>
      </c>
      <c r="O314" s="33">
        <f t="shared" si="117"/>
        <v>7.7817743463895639E-2</v>
      </c>
    </row>
    <row r="315" spans="2:15" s="22" customFormat="1" ht="24" customHeight="1" x14ac:dyDescent="0.2">
      <c r="B315" s="150" t="s">
        <v>116</v>
      </c>
      <c r="C315" s="148">
        <v>7.875</v>
      </c>
      <c r="D315" s="166">
        <v>45398</v>
      </c>
      <c r="E315" s="166">
        <v>57405</v>
      </c>
      <c r="F315" s="149">
        <v>45504</v>
      </c>
      <c r="G315" s="174">
        <f t="shared" si="118"/>
        <v>11731</v>
      </c>
      <c r="H315" s="208">
        <f t="shared" si="116"/>
        <v>32.586111111111109</v>
      </c>
      <c r="I315" s="194">
        <f t="shared" si="119"/>
        <v>58655000000</v>
      </c>
      <c r="J315" s="196">
        <v>5000000</v>
      </c>
      <c r="K315" s="186">
        <v>5063750</v>
      </c>
      <c r="L315" s="31"/>
      <c r="M315" s="21"/>
      <c r="N315" s="32">
        <f t="shared" si="120"/>
        <v>393750</v>
      </c>
      <c r="O315" s="33">
        <f t="shared" si="117"/>
        <v>7.7758578128857073E-2</v>
      </c>
    </row>
    <row r="316" spans="2:15" s="22" customFormat="1" ht="24" customHeight="1" x14ac:dyDescent="0.2">
      <c r="B316" s="150" t="s">
        <v>117</v>
      </c>
      <c r="C316" s="148">
        <v>7.875</v>
      </c>
      <c r="D316" s="166">
        <v>45400</v>
      </c>
      <c r="E316" s="166">
        <v>57405</v>
      </c>
      <c r="F316" s="149">
        <v>45504</v>
      </c>
      <c r="G316" s="174">
        <f t="shared" si="118"/>
        <v>11731</v>
      </c>
      <c r="H316" s="208">
        <f t="shared" si="116"/>
        <v>32.586111111111109</v>
      </c>
      <c r="I316" s="194">
        <f t="shared" si="119"/>
        <v>58655000000</v>
      </c>
      <c r="J316" s="196">
        <v>5000000</v>
      </c>
      <c r="K316" s="186">
        <v>5045000</v>
      </c>
      <c r="L316" s="31"/>
      <c r="M316" s="21"/>
      <c r="N316" s="32">
        <f t="shared" si="120"/>
        <v>393750</v>
      </c>
      <c r="O316" s="33">
        <f t="shared" si="117"/>
        <v>7.8047571853320119E-2</v>
      </c>
    </row>
    <row r="317" spans="2:15" s="22" customFormat="1" ht="24" customHeight="1" x14ac:dyDescent="0.2">
      <c r="B317" s="150" t="s">
        <v>118</v>
      </c>
      <c r="C317" s="148">
        <v>7.875</v>
      </c>
      <c r="D317" s="166">
        <v>45400</v>
      </c>
      <c r="E317" s="166">
        <v>57405</v>
      </c>
      <c r="F317" s="149">
        <v>45504</v>
      </c>
      <c r="G317" s="174">
        <f t="shared" si="118"/>
        <v>11731</v>
      </c>
      <c r="H317" s="208">
        <f t="shared" si="116"/>
        <v>32.586111111111109</v>
      </c>
      <c r="I317" s="194">
        <f t="shared" si="119"/>
        <v>58655000000</v>
      </c>
      <c r="J317" s="196">
        <v>5000000</v>
      </c>
      <c r="K317" s="186">
        <v>5043500</v>
      </c>
      <c r="L317" s="31"/>
      <c r="M317" s="21"/>
      <c r="N317" s="32">
        <f t="shared" si="120"/>
        <v>393750</v>
      </c>
      <c r="O317" s="33">
        <f t="shared" si="117"/>
        <v>7.8070784177654409E-2</v>
      </c>
    </row>
    <row r="318" spans="2:15" s="22" customFormat="1" ht="24" customHeight="1" x14ac:dyDescent="0.2">
      <c r="B318" s="150" t="s">
        <v>119</v>
      </c>
      <c r="C318" s="148">
        <v>7.875</v>
      </c>
      <c r="D318" s="166">
        <v>45401</v>
      </c>
      <c r="E318" s="166">
        <v>57405</v>
      </c>
      <c r="F318" s="149">
        <v>45504</v>
      </c>
      <c r="G318" s="174">
        <f t="shared" si="118"/>
        <v>11731</v>
      </c>
      <c r="H318" s="208">
        <f t="shared" si="116"/>
        <v>32.586111111111109</v>
      </c>
      <c r="I318" s="194">
        <f t="shared" si="119"/>
        <v>58655000000</v>
      </c>
      <c r="J318" s="196">
        <v>5000000</v>
      </c>
      <c r="K318" s="186">
        <v>4982800</v>
      </c>
      <c r="L318" s="31"/>
      <c r="M318" s="21"/>
      <c r="N318" s="32">
        <f t="shared" si="120"/>
        <v>393750</v>
      </c>
      <c r="O318" s="33">
        <f t="shared" si="117"/>
        <v>7.9021835112787986E-2</v>
      </c>
    </row>
    <row r="319" spans="2:15" s="22" customFormat="1" ht="24" customHeight="1" x14ac:dyDescent="0.2">
      <c r="B319" s="150" t="s">
        <v>232</v>
      </c>
      <c r="C319" s="148">
        <v>7.875</v>
      </c>
      <c r="D319" s="166">
        <v>45401</v>
      </c>
      <c r="E319" s="166">
        <v>57405</v>
      </c>
      <c r="F319" s="149">
        <v>45504</v>
      </c>
      <c r="G319" s="174">
        <f t="shared" si="118"/>
        <v>11731</v>
      </c>
      <c r="H319" s="208">
        <f t="shared" si="116"/>
        <v>32.586111111111109</v>
      </c>
      <c r="I319" s="194">
        <f t="shared" si="119"/>
        <v>58655000000</v>
      </c>
      <c r="J319" s="196">
        <v>5000000</v>
      </c>
      <c r="K319" s="186">
        <v>4977500</v>
      </c>
      <c r="L319" s="31"/>
      <c r="M319" s="21"/>
      <c r="N319" s="32">
        <f t="shared" si="120"/>
        <v>393750</v>
      </c>
      <c r="O319" s="33">
        <f t="shared" si="117"/>
        <v>7.9105976896032146E-2</v>
      </c>
    </row>
    <row r="320" spans="2:15" s="22" customFormat="1" ht="24" customHeight="1" x14ac:dyDescent="0.2">
      <c r="B320" s="150" t="s">
        <v>233</v>
      </c>
      <c r="C320" s="148">
        <v>7.875</v>
      </c>
      <c r="D320" s="166">
        <v>45401</v>
      </c>
      <c r="E320" s="166">
        <v>57405</v>
      </c>
      <c r="F320" s="149">
        <v>45504</v>
      </c>
      <c r="G320" s="174">
        <f t="shared" si="118"/>
        <v>11731</v>
      </c>
      <c r="H320" s="208">
        <f t="shared" si="116"/>
        <v>32.586111111111109</v>
      </c>
      <c r="I320" s="194">
        <f t="shared" si="119"/>
        <v>58655000000</v>
      </c>
      <c r="J320" s="196">
        <v>5000000</v>
      </c>
      <c r="K320" s="186">
        <v>4967500</v>
      </c>
      <c r="L320" s="31"/>
      <c r="M320" s="21"/>
      <c r="N320" s="32">
        <f t="shared" si="120"/>
        <v>393750</v>
      </c>
      <c r="O320" s="33">
        <f t="shared" si="117"/>
        <v>7.926522395571213E-2</v>
      </c>
    </row>
    <row r="321" spans="2:15" s="22" customFormat="1" ht="24" customHeight="1" x14ac:dyDescent="0.2">
      <c r="B321" s="150" t="s">
        <v>234</v>
      </c>
      <c r="C321" s="148">
        <v>7.875</v>
      </c>
      <c r="D321" s="166">
        <v>45404</v>
      </c>
      <c r="E321" s="166">
        <v>57405</v>
      </c>
      <c r="F321" s="149">
        <v>45504</v>
      </c>
      <c r="G321" s="174">
        <f t="shared" si="118"/>
        <v>11731</v>
      </c>
      <c r="H321" s="208">
        <f t="shared" si="116"/>
        <v>32.586111111111109</v>
      </c>
      <c r="I321" s="194">
        <f t="shared" si="119"/>
        <v>58655000000</v>
      </c>
      <c r="J321" s="196">
        <v>5000000</v>
      </c>
      <c r="K321" s="186">
        <v>4970750.0000000009</v>
      </c>
      <c r="L321" s="31"/>
      <c r="M321" s="21"/>
      <c r="N321" s="32">
        <f t="shared" si="120"/>
        <v>393750</v>
      </c>
      <c r="O321" s="33">
        <f t="shared" si="117"/>
        <v>7.9213398380526059E-2</v>
      </c>
    </row>
    <row r="322" spans="2:15" s="22" customFormat="1" ht="24" customHeight="1" x14ac:dyDescent="0.2">
      <c r="B322" s="150" t="s">
        <v>235</v>
      </c>
      <c r="C322" s="148">
        <v>7.875</v>
      </c>
      <c r="D322" s="166">
        <v>45404</v>
      </c>
      <c r="E322" s="166">
        <v>57405</v>
      </c>
      <c r="F322" s="149">
        <v>45504</v>
      </c>
      <c r="G322" s="174">
        <f t="shared" si="118"/>
        <v>11731</v>
      </c>
      <c r="H322" s="208">
        <f t="shared" si="116"/>
        <v>32.586111111111109</v>
      </c>
      <c r="I322" s="194">
        <f t="shared" si="119"/>
        <v>58655000000</v>
      </c>
      <c r="J322" s="196">
        <v>5000000</v>
      </c>
      <c r="K322" s="186">
        <v>4926400</v>
      </c>
      <c r="L322" s="31"/>
      <c r="M322" s="21"/>
      <c r="N322" s="32">
        <f t="shared" si="120"/>
        <v>393750</v>
      </c>
      <c r="O322" s="33">
        <f t="shared" si="117"/>
        <v>7.9926518350113676E-2</v>
      </c>
    </row>
    <row r="323" spans="2:15" s="22" customFormat="1" ht="24" customHeight="1" x14ac:dyDescent="0.2">
      <c r="B323" s="150" t="s">
        <v>236</v>
      </c>
      <c r="C323" s="148">
        <v>7.875</v>
      </c>
      <c r="D323" s="166">
        <v>45405</v>
      </c>
      <c r="E323" s="166">
        <v>57405</v>
      </c>
      <c r="F323" s="149">
        <v>45504</v>
      </c>
      <c r="G323" s="174">
        <f t="shared" si="118"/>
        <v>11731</v>
      </c>
      <c r="H323" s="208">
        <f t="shared" si="116"/>
        <v>32.586111111111109</v>
      </c>
      <c r="I323" s="194">
        <f t="shared" si="119"/>
        <v>58655000000</v>
      </c>
      <c r="J323" s="196">
        <v>5000000</v>
      </c>
      <c r="K323" s="186">
        <v>4966400</v>
      </c>
      <c r="L323" s="31"/>
      <c r="M323" s="21"/>
      <c r="N323" s="32">
        <f t="shared" si="120"/>
        <v>393750</v>
      </c>
      <c r="O323" s="33">
        <f t="shared" si="117"/>
        <v>7.9282780283505161E-2</v>
      </c>
    </row>
    <row r="324" spans="2:15" s="22" customFormat="1" ht="24" customHeight="1" x14ac:dyDescent="0.2">
      <c r="B324" s="150" t="s">
        <v>237</v>
      </c>
      <c r="C324" s="148">
        <v>7.875</v>
      </c>
      <c r="D324" s="166">
        <v>45405</v>
      </c>
      <c r="E324" s="166">
        <v>57405</v>
      </c>
      <c r="F324" s="149">
        <v>45504</v>
      </c>
      <c r="G324" s="174">
        <f t="shared" si="118"/>
        <v>11731</v>
      </c>
      <c r="H324" s="208">
        <f t="shared" si="116"/>
        <v>32.586111111111109</v>
      </c>
      <c r="I324" s="194">
        <f t="shared" si="119"/>
        <v>58655000000</v>
      </c>
      <c r="J324" s="196">
        <v>5000000</v>
      </c>
      <c r="K324" s="186">
        <v>4957500</v>
      </c>
      <c r="L324" s="31"/>
      <c r="M324" s="21"/>
      <c r="N324" s="32">
        <f t="shared" si="120"/>
        <v>393750</v>
      </c>
      <c r="O324" s="33">
        <f t="shared" si="117"/>
        <v>7.9425113464447805E-2</v>
      </c>
    </row>
    <row r="325" spans="2:15" s="22" customFormat="1" ht="24" customHeight="1" x14ac:dyDescent="0.2">
      <c r="B325" s="150" t="s">
        <v>238</v>
      </c>
      <c r="C325" s="148">
        <v>7.875</v>
      </c>
      <c r="D325" s="166">
        <v>45405</v>
      </c>
      <c r="E325" s="166">
        <v>57405</v>
      </c>
      <c r="F325" s="149">
        <v>45504</v>
      </c>
      <c r="G325" s="174">
        <f t="shared" si="118"/>
        <v>11731</v>
      </c>
      <c r="H325" s="208">
        <f t="shared" si="116"/>
        <v>32.586111111111109</v>
      </c>
      <c r="I325" s="194">
        <f t="shared" si="119"/>
        <v>58655000000</v>
      </c>
      <c r="J325" s="196">
        <v>5000000</v>
      </c>
      <c r="K325" s="186">
        <v>4941500</v>
      </c>
      <c r="L325" s="31"/>
      <c r="M325" s="21"/>
      <c r="N325" s="32">
        <f t="shared" si="120"/>
        <v>393750</v>
      </c>
      <c r="O325" s="33">
        <f t="shared" si="117"/>
        <v>7.9682282707679852E-2</v>
      </c>
    </row>
    <row r="326" spans="2:15" s="22" customFormat="1" ht="24" customHeight="1" x14ac:dyDescent="0.2">
      <c r="B326" s="150" t="s">
        <v>239</v>
      </c>
      <c r="C326" s="148">
        <v>7.875</v>
      </c>
      <c r="D326" s="166">
        <v>45405</v>
      </c>
      <c r="E326" s="166">
        <v>57405</v>
      </c>
      <c r="F326" s="149">
        <v>45504</v>
      </c>
      <c r="G326" s="174">
        <f t="shared" si="118"/>
        <v>11731</v>
      </c>
      <c r="H326" s="208">
        <f t="shared" si="116"/>
        <v>32.586111111111109</v>
      </c>
      <c r="I326" s="194">
        <f t="shared" si="119"/>
        <v>58655000000</v>
      </c>
      <c r="J326" s="196">
        <v>5000000</v>
      </c>
      <c r="K326" s="186">
        <v>4939000</v>
      </c>
      <c r="L326" s="31"/>
      <c r="M326" s="21"/>
      <c r="N326" s="32">
        <f t="shared" si="120"/>
        <v>393750</v>
      </c>
      <c r="O326" s="33">
        <f t="shared" si="117"/>
        <v>7.9722615914152667E-2</v>
      </c>
    </row>
    <row r="327" spans="2:15" s="22" customFormat="1" ht="24" customHeight="1" x14ac:dyDescent="0.2">
      <c r="B327" s="150" t="s">
        <v>240</v>
      </c>
      <c r="C327" s="148">
        <v>7.875</v>
      </c>
      <c r="D327" s="166">
        <v>45405</v>
      </c>
      <c r="E327" s="166">
        <v>57405</v>
      </c>
      <c r="F327" s="149">
        <v>45504</v>
      </c>
      <c r="G327" s="174">
        <f t="shared" si="118"/>
        <v>11731</v>
      </c>
      <c r="H327" s="208">
        <f t="shared" si="116"/>
        <v>32.586111111111109</v>
      </c>
      <c r="I327" s="194">
        <f t="shared" si="119"/>
        <v>58655000000</v>
      </c>
      <c r="J327" s="196">
        <v>5000000</v>
      </c>
      <c r="K327" s="186">
        <v>4923500</v>
      </c>
      <c r="L327" s="31"/>
      <c r="M327" s="21"/>
      <c r="N327" s="32">
        <f t="shared" si="120"/>
        <v>393750</v>
      </c>
      <c r="O327" s="33">
        <f t="shared" si="117"/>
        <v>7.9973596019092111E-2</v>
      </c>
    </row>
    <row r="328" spans="2:15" s="22" customFormat="1" ht="24" customHeight="1" x14ac:dyDescent="0.2">
      <c r="B328" s="150" t="s">
        <v>241</v>
      </c>
      <c r="C328" s="148">
        <v>7.875</v>
      </c>
      <c r="D328" s="166">
        <v>45406</v>
      </c>
      <c r="E328" s="166">
        <v>57405</v>
      </c>
      <c r="F328" s="149">
        <v>45504</v>
      </c>
      <c r="G328" s="174">
        <f t="shared" si="118"/>
        <v>11731</v>
      </c>
      <c r="H328" s="208">
        <f t="shared" si="116"/>
        <v>32.586111111111109</v>
      </c>
      <c r="I328" s="194">
        <f t="shared" si="119"/>
        <v>58655000000</v>
      </c>
      <c r="J328" s="196">
        <v>5000000</v>
      </c>
      <c r="K328" s="186">
        <v>4934000</v>
      </c>
      <c r="L328" s="31"/>
      <c r="M328" s="21"/>
      <c r="N328" s="32">
        <f t="shared" si="120"/>
        <v>393750</v>
      </c>
      <c r="O328" s="33">
        <f t="shared" si="117"/>
        <v>7.980340494527767E-2</v>
      </c>
    </row>
    <row r="329" spans="2:15" s="22" customFormat="1" ht="24" customHeight="1" x14ac:dyDescent="0.2">
      <c r="B329" s="150" t="s">
        <v>242</v>
      </c>
      <c r="C329" s="148">
        <v>7.875</v>
      </c>
      <c r="D329" s="166">
        <v>45408</v>
      </c>
      <c r="E329" s="166">
        <v>57405</v>
      </c>
      <c r="F329" s="149">
        <v>45504</v>
      </c>
      <c r="G329" s="174">
        <f t="shared" si="118"/>
        <v>11731</v>
      </c>
      <c r="H329" s="208">
        <f t="shared" si="116"/>
        <v>32.586111111111109</v>
      </c>
      <c r="I329" s="194">
        <f t="shared" si="119"/>
        <v>35193000000</v>
      </c>
      <c r="J329" s="196">
        <v>3000000</v>
      </c>
      <c r="K329" s="186">
        <v>2968500</v>
      </c>
      <c r="L329" s="31"/>
      <c r="M329" s="21"/>
      <c r="N329" s="32">
        <f t="shared" si="120"/>
        <v>236250</v>
      </c>
      <c r="O329" s="33">
        <f t="shared" si="117"/>
        <v>7.9585649317837293E-2</v>
      </c>
    </row>
    <row r="330" spans="2:15" s="22" customFormat="1" ht="24" customHeight="1" x14ac:dyDescent="0.2">
      <c r="B330" s="150" t="s">
        <v>243</v>
      </c>
      <c r="C330" s="148">
        <v>7.875</v>
      </c>
      <c r="D330" s="166">
        <v>45411</v>
      </c>
      <c r="E330" s="166">
        <v>57405</v>
      </c>
      <c r="F330" s="149">
        <v>45504</v>
      </c>
      <c r="G330" s="174">
        <f t="shared" si="118"/>
        <v>11731</v>
      </c>
      <c r="H330" s="208">
        <f t="shared" si="116"/>
        <v>32.586111111111109</v>
      </c>
      <c r="I330" s="194">
        <f t="shared" si="119"/>
        <v>11731000000</v>
      </c>
      <c r="J330" s="196">
        <v>1000000</v>
      </c>
      <c r="K330" s="186">
        <v>991300</v>
      </c>
      <c r="L330" s="31"/>
      <c r="M330" s="21"/>
      <c r="N330" s="32">
        <f t="shared" si="120"/>
        <v>78750</v>
      </c>
      <c r="O330" s="33">
        <f t="shared" si="117"/>
        <v>7.9441137899727635E-2</v>
      </c>
    </row>
    <row r="331" spans="2:15" s="22" customFormat="1" ht="24" customHeight="1" x14ac:dyDescent="0.2">
      <c r="B331" s="150" t="s">
        <v>244</v>
      </c>
      <c r="C331" s="148">
        <v>7.875</v>
      </c>
      <c r="D331" s="166">
        <v>45411</v>
      </c>
      <c r="E331" s="166">
        <v>57405</v>
      </c>
      <c r="F331" s="149">
        <v>45504</v>
      </c>
      <c r="G331" s="174">
        <f t="shared" si="118"/>
        <v>11731</v>
      </c>
      <c r="H331" s="208">
        <f t="shared" si="116"/>
        <v>32.586111111111109</v>
      </c>
      <c r="I331" s="194">
        <f t="shared" si="119"/>
        <v>35193000000</v>
      </c>
      <c r="J331" s="196">
        <v>3000000</v>
      </c>
      <c r="K331" s="186">
        <v>2972400</v>
      </c>
      <c r="L331" s="31"/>
      <c r="M331" s="21"/>
      <c r="N331" s="32">
        <f t="shared" si="120"/>
        <v>236250</v>
      </c>
      <c r="O331" s="33">
        <f t="shared" si="117"/>
        <v>7.9481227291077913E-2</v>
      </c>
    </row>
    <row r="332" spans="2:15" s="22" customFormat="1" ht="24" customHeight="1" x14ac:dyDescent="0.2">
      <c r="B332" s="150" t="s">
        <v>245</v>
      </c>
      <c r="C332" s="148">
        <v>7.875</v>
      </c>
      <c r="D332" s="166">
        <v>45411</v>
      </c>
      <c r="E332" s="166">
        <v>57405</v>
      </c>
      <c r="F332" s="149">
        <v>45504</v>
      </c>
      <c r="G332" s="174">
        <f t="shared" si="118"/>
        <v>11731</v>
      </c>
      <c r="H332" s="208">
        <f t="shared" si="116"/>
        <v>32.586111111111109</v>
      </c>
      <c r="I332" s="194">
        <f t="shared" si="119"/>
        <v>64520500000</v>
      </c>
      <c r="J332" s="196">
        <v>5500000</v>
      </c>
      <c r="K332" s="186">
        <v>5442250</v>
      </c>
      <c r="L332" s="31"/>
      <c r="M332" s="21"/>
      <c r="N332" s="32">
        <f t="shared" si="120"/>
        <v>433125</v>
      </c>
      <c r="O332" s="33">
        <f t="shared" si="117"/>
        <v>7.9585649317837293E-2</v>
      </c>
    </row>
    <row r="333" spans="2:15" s="22" customFormat="1" ht="24" customHeight="1" x14ac:dyDescent="0.2">
      <c r="B333" s="150" t="s">
        <v>246</v>
      </c>
      <c r="C333" s="148">
        <v>7.875</v>
      </c>
      <c r="D333" s="166">
        <v>45412</v>
      </c>
      <c r="E333" s="166">
        <v>57405</v>
      </c>
      <c r="F333" s="149">
        <v>45504</v>
      </c>
      <c r="G333" s="174">
        <f t="shared" si="118"/>
        <v>11731</v>
      </c>
      <c r="H333" s="208">
        <f t="shared" si="116"/>
        <v>32.586111111111109</v>
      </c>
      <c r="I333" s="194">
        <f t="shared" si="119"/>
        <v>58655000000</v>
      </c>
      <c r="J333" s="196">
        <v>5000000</v>
      </c>
      <c r="K333" s="186">
        <v>4923450</v>
      </c>
      <c r="L333" s="31"/>
      <c r="M333" s="21"/>
      <c r="N333" s="32">
        <f t="shared" si="120"/>
        <v>393750</v>
      </c>
      <c r="O333" s="33">
        <f t="shared" si="117"/>
        <v>7.9974408189379398E-2</v>
      </c>
    </row>
    <row r="334" spans="2:15" s="22" customFormat="1" ht="24" customHeight="1" x14ac:dyDescent="0.2">
      <c r="B334" s="150" t="s">
        <v>247</v>
      </c>
      <c r="C334" s="148">
        <v>7.875</v>
      </c>
      <c r="D334" s="166">
        <v>45412</v>
      </c>
      <c r="E334" s="166">
        <v>57405</v>
      </c>
      <c r="F334" s="149">
        <v>45504</v>
      </c>
      <c r="G334" s="174">
        <f t="shared" si="118"/>
        <v>11731</v>
      </c>
      <c r="H334" s="208">
        <f t="shared" si="116"/>
        <v>32.586111111111109</v>
      </c>
      <c r="I334" s="194">
        <f t="shared" si="119"/>
        <v>58655000000</v>
      </c>
      <c r="J334" s="196">
        <v>5000000</v>
      </c>
      <c r="K334" s="186">
        <v>4917375</v>
      </c>
      <c r="L334" s="31"/>
      <c r="M334" s="21"/>
      <c r="N334" s="32">
        <f t="shared" si="120"/>
        <v>393750</v>
      </c>
      <c r="O334" s="33">
        <f t="shared" si="117"/>
        <v>8.0073209791809652E-2</v>
      </c>
    </row>
    <row r="335" spans="2:15" s="22" customFormat="1" ht="24" customHeight="1" x14ac:dyDescent="0.2">
      <c r="B335" s="150" t="s">
        <v>248</v>
      </c>
      <c r="C335" s="148">
        <v>7.875</v>
      </c>
      <c r="D335" s="166">
        <v>45412</v>
      </c>
      <c r="E335" s="166">
        <v>57405</v>
      </c>
      <c r="F335" s="149">
        <v>45504</v>
      </c>
      <c r="G335" s="174">
        <f t="shared" si="118"/>
        <v>11731</v>
      </c>
      <c r="H335" s="208">
        <f t="shared" si="116"/>
        <v>32.586111111111109</v>
      </c>
      <c r="I335" s="194">
        <f t="shared" si="119"/>
        <v>58655000000</v>
      </c>
      <c r="J335" s="196">
        <v>5000000</v>
      </c>
      <c r="K335" s="186">
        <v>4926500</v>
      </c>
      <c r="L335" s="31"/>
      <c r="M335" s="21"/>
      <c r="N335" s="32">
        <f t="shared" si="120"/>
        <v>393750</v>
      </c>
      <c r="O335" s="33">
        <f t="shared" si="117"/>
        <v>7.9924895970770321E-2</v>
      </c>
    </row>
    <row r="336" spans="2:15" ht="24" customHeight="1" x14ac:dyDescent="0.25">
      <c r="B336" s="150" t="s">
        <v>249</v>
      </c>
      <c r="C336" s="148">
        <v>7.875</v>
      </c>
      <c r="D336" s="166">
        <v>45412</v>
      </c>
      <c r="E336" s="166">
        <v>57405</v>
      </c>
      <c r="F336" s="149">
        <v>45504</v>
      </c>
      <c r="G336" s="174">
        <f t="shared" si="118"/>
        <v>11731</v>
      </c>
      <c r="H336" s="208">
        <f t="shared" si="116"/>
        <v>32.586111111111109</v>
      </c>
      <c r="I336" s="194">
        <f t="shared" si="119"/>
        <v>46757095907.090004</v>
      </c>
      <c r="J336" s="196">
        <v>3985772.39</v>
      </c>
      <c r="K336" s="186">
        <v>3922000.03</v>
      </c>
      <c r="N336" s="32">
        <f t="shared" si="120"/>
        <v>313879.57571250002</v>
      </c>
      <c r="O336" s="33">
        <f t="shared" si="117"/>
        <v>8.0030487840791795E-2</v>
      </c>
    </row>
    <row r="337" spans="2:15" ht="24" customHeight="1" x14ac:dyDescent="0.25">
      <c r="B337" s="150" t="s">
        <v>120</v>
      </c>
      <c r="C337" s="148">
        <v>7.88</v>
      </c>
      <c r="D337" s="166">
        <v>45419</v>
      </c>
      <c r="E337" s="166">
        <v>57405</v>
      </c>
      <c r="F337" s="149">
        <v>45504</v>
      </c>
      <c r="G337" s="174">
        <f t="shared" si="118"/>
        <v>11731</v>
      </c>
      <c r="H337" s="208">
        <f t="shared" si="116"/>
        <v>32.586111111111109</v>
      </c>
      <c r="I337" s="194">
        <f t="shared" si="119"/>
        <v>3067486165.8800001</v>
      </c>
      <c r="J337" s="196">
        <v>261485.48</v>
      </c>
      <c r="K337" s="186">
        <v>256804.89</v>
      </c>
      <c r="N337" s="32">
        <f t="shared" si="120"/>
        <v>20605.055823999999</v>
      </c>
      <c r="O337" s="33">
        <f t="shared" si="117"/>
        <v>8.0236228461225939E-2</v>
      </c>
    </row>
    <row r="338" spans="2:15" ht="24" customHeight="1" x14ac:dyDescent="0.25">
      <c r="B338" s="150" t="s">
        <v>121</v>
      </c>
      <c r="C338" s="154">
        <v>7.88</v>
      </c>
      <c r="D338" s="166">
        <v>45419</v>
      </c>
      <c r="E338" s="166">
        <v>57405</v>
      </c>
      <c r="F338" s="149">
        <v>45504</v>
      </c>
      <c r="G338" s="174">
        <f t="shared" si="118"/>
        <v>11731</v>
      </c>
      <c r="H338" s="208">
        <f t="shared" si="116"/>
        <v>32.586111111111109</v>
      </c>
      <c r="I338" s="194">
        <f t="shared" si="119"/>
        <v>58655000000</v>
      </c>
      <c r="J338" s="196">
        <v>5000000</v>
      </c>
      <c r="K338" s="186">
        <v>4908500</v>
      </c>
      <c r="N338" s="32">
        <f t="shared" si="120"/>
        <v>394000</v>
      </c>
      <c r="O338" s="33">
        <f t="shared" si="117"/>
        <v>8.0268921259040435E-2</v>
      </c>
    </row>
    <row r="339" spans="2:15" s="22" customFormat="1" ht="22.5" customHeight="1" x14ac:dyDescent="0.2">
      <c r="B339" s="150" t="s">
        <v>122</v>
      </c>
      <c r="C339" s="154">
        <v>7.88</v>
      </c>
      <c r="D339" s="166">
        <v>45419</v>
      </c>
      <c r="E339" s="166">
        <v>57405</v>
      </c>
      <c r="F339" s="149">
        <v>45504</v>
      </c>
      <c r="G339" s="174">
        <f t="shared" si="118"/>
        <v>11731</v>
      </c>
      <c r="H339" s="208">
        <f t="shared" si="116"/>
        <v>32.586111111111109</v>
      </c>
      <c r="I339" s="194">
        <f t="shared" si="119"/>
        <v>58655000000</v>
      </c>
      <c r="J339" s="196">
        <v>5000000</v>
      </c>
      <c r="K339" s="186">
        <v>4909375</v>
      </c>
      <c r="L339" s="55"/>
      <c r="M339" s="21"/>
      <c r="N339" s="32">
        <f t="shared" si="120"/>
        <v>394000</v>
      </c>
      <c r="O339" s="33">
        <f t="shared" si="117"/>
        <v>8.0254614894971349E-2</v>
      </c>
    </row>
    <row r="340" spans="2:15" s="22" customFormat="1" ht="22.5" customHeight="1" x14ac:dyDescent="0.2">
      <c r="B340" s="150"/>
      <c r="C340" s="154"/>
      <c r="D340" s="166"/>
      <c r="E340" s="166"/>
      <c r="F340" s="149"/>
      <c r="G340" s="175"/>
      <c r="H340" s="209"/>
      <c r="I340" s="168"/>
      <c r="J340" s="196"/>
      <c r="K340" s="186"/>
      <c r="L340" s="55"/>
      <c r="M340" s="21"/>
      <c r="N340" s="32"/>
      <c r="O340" s="33"/>
    </row>
    <row r="341" spans="2:15" s="22" customFormat="1" ht="24.75" customHeight="1" x14ac:dyDescent="0.2">
      <c r="B341" s="144" t="s">
        <v>129</v>
      </c>
      <c r="C341" s="156"/>
      <c r="D341" s="165"/>
      <c r="E341" s="165"/>
      <c r="F341" s="146"/>
      <c r="G341" s="173">
        <f>+I341/J341</f>
        <v>12953</v>
      </c>
      <c r="H341" s="208">
        <f t="shared" ref="H341:H345" si="121">+G341/360</f>
        <v>35.980555555555554</v>
      </c>
      <c r="I341" s="189">
        <f>SUM(I342:I345)</f>
        <v>2064447254949.9099</v>
      </c>
      <c r="J341" s="218">
        <f>SUM(J342:J345)</f>
        <v>159379854.47</v>
      </c>
      <c r="K341" s="184">
        <f>SUM(K342:K345)</f>
        <v>172997236.27000001</v>
      </c>
      <c r="L341" s="55">
        <v>3647500</v>
      </c>
      <c r="M341" s="21"/>
      <c r="N341" s="56">
        <f>SUM(N342:N345)</f>
        <v>6168000.3679889999</v>
      </c>
      <c r="O341" s="54">
        <f t="shared" ref="O341:O345" si="122">+N341/K341</f>
        <v>3.5653750897861089E-2</v>
      </c>
    </row>
    <row r="342" spans="2:15" s="22" customFormat="1" ht="24.75" customHeight="1" x14ac:dyDescent="0.2">
      <c r="B342" s="150" t="s">
        <v>130</v>
      </c>
      <c r="C342" s="148">
        <v>3.87</v>
      </c>
      <c r="D342" s="166">
        <v>44223</v>
      </c>
      <c r="E342" s="166">
        <v>58645</v>
      </c>
      <c r="F342" s="149">
        <v>45504</v>
      </c>
      <c r="G342" s="174">
        <f t="shared" ref="G342:G345" si="123">DAYS360(F342,E342)</f>
        <v>12953</v>
      </c>
      <c r="H342" s="208">
        <f t="shared" si="121"/>
        <v>35.980555555555554</v>
      </c>
      <c r="I342" s="194">
        <f t="shared" ref="I342:I345" si="124">+G342*J342</f>
        <v>1683629054949.9099</v>
      </c>
      <c r="J342" s="196">
        <v>129979854.47</v>
      </c>
      <c r="K342" s="183">
        <v>143486061.15000001</v>
      </c>
      <c r="L342" s="31"/>
      <c r="M342" s="21"/>
      <c r="N342" s="32">
        <f>+J342*C342/100</f>
        <v>5030220.3679889999</v>
      </c>
      <c r="O342" s="33">
        <f t="shared" si="122"/>
        <v>3.5057205749974688E-2</v>
      </c>
    </row>
    <row r="343" spans="2:15" s="22" customFormat="1" ht="24.75" customHeight="1" x14ac:dyDescent="0.2">
      <c r="B343" s="150" t="s">
        <v>250</v>
      </c>
      <c r="C343" s="148">
        <v>3.87</v>
      </c>
      <c r="D343" s="166">
        <v>44322</v>
      </c>
      <c r="E343" s="166">
        <v>58645</v>
      </c>
      <c r="F343" s="149">
        <v>45504</v>
      </c>
      <c r="G343" s="174">
        <f t="shared" si="123"/>
        <v>12953</v>
      </c>
      <c r="H343" s="208">
        <f t="shared" si="121"/>
        <v>35.980555555555554</v>
      </c>
      <c r="I343" s="194">
        <f t="shared" si="124"/>
        <v>126939400000</v>
      </c>
      <c r="J343" s="196">
        <v>9800000</v>
      </c>
      <c r="K343" s="183">
        <v>9838655.1199999992</v>
      </c>
      <c r="L343" s="31"/>
      <c r="M343" s="21"/>
      <c r="N343" s="32">
        <f>+J343*C343/100</f>
        <v>379260</v>
      </c>
      <c r="O343" s="33">
        <f t="shared" si="122"/>
        <v>3.8547951460260153E-2</v>
      </c>
    </row>
    <row r="344" spans="2:15" s="22" customFormat="1" ht="24.75" customHeight="1" x14ac:dyDescent="0.2">
      <c r="B344" s="150" t="s">
        <v>251</v>
      </c>
      <c r="C344" s="148">
        <v>3.87</v>
      </c>
      <c r="D344" s="166">
        <v>44323</v>
      </c>
      <c r="E344" s="166">
        <v>58645</v>
      </c>
      <c r="F344" s="149">
        <v>45504</v>
      </c>
      <c r="G344" s="174">
        <f t="shared" si="123"/>
        <v>12953</v>
      </c>
      <c r="H344" s="208">
        <f t="shared" si="121"/>
        <v>35.980555555555554</v>
      </c>
      <c r="I344" s="194">
        <f t="shared" si="124"/>
        <v>126939400000</v>
      </c>
      <c r="J344" s="196">
        <v>9800000</v>
      </c>
      <c r="K344" s="183">
        <v>9834300</v>
      </c>
      <c r="L344" s="31"/>
      <c r="M344" s="21"/>
      <c r="N344" s="32">
        <f>+J344*C344/100</f>
        <v>379260</v>
      </c>
      <c r="O344" s="33">
        <f t="shared" si="122"/>
        <v>3.8565022421524667E-2</v>
      </c>
    </row>
    <row r="345" spans="2:15" s="22" customFormat="1" ht="25.5" customHeight="1" x14ac:dyDescent="0.2">
      <c r="B345" s="150" t="s">
        <v>252</v>
      </c>
      <c r="C345" s="148">
        <v>3.87</v>
      </c>
      <c r="D345" s="166">
        <v>44333</v>
      </c>
      <c r="E345" s="166">
        <v>58645</v>
      </c>
      <c r="F345" s="149">
        <v>45504</v>
      </c>
      <c r="G345" s="174">
        <f t="shared" si="123"/>
        <v>12953</v>
      </c>
      <c r="H345" s="208">
        <f t="shared" si="121"/>
        <v>35.980555555555554</v>
      </c>
      <c r="I345" s="194">
        <f t="shared" si="124"/>
        <v>126939400000</v>
      </c>
      <c r="J345" s="196">
        <v>9800000</v>
      </c>
      <c r="K345" s="183">
        <v>9838220</v>
      </c>
      <c r="L345" s="31"/>
      <c r="M345" s="21"/>
      <c r="N345" s="32">
        <f>+J345*C345/100</f>
        <v>379260</v>
      </c>
      <c r="O345" s="33">
        <f t="shared" si="122"/>
        <v>3.8549656340272936E-2</v>
      </c>
    </row>
    <row r="346" spans="2:15" s="22" customFormat="1" ht="25.5" customHeight="1" x14ac:dyDescent="0.2">
      <c r="B346" s="150"/>
      <c r="C346" s="148"/>
      <c r="D346" s="166"/>
      <c r="E346" s="166"/>
      <c r="F346" s="149"/>
      <c r="G346" s="175"/>
      <c r="H346" s="209"/>
      <c r="I346" s="168"/>
      <c r="J346" s="196"/>
      <c r="K346" s="183"/>
      <c r="L346" s="31"/>
      <c r="M346" s="21"/>
      <c r="N346" s="32"/>
      <c r="O346" s="33"/>
    </row>
    <row r="347" spans="2:15" s="22" customFormat="1" ht="24" customHeight="1" x14ac:dyDescent="0.2">
      <c r="B347" s="144" t="s">
        <v>131</v>
      </c>
      <c r="C347" s="156"/>
      <c r="D347" s="165"/>
      <c r="E347" s="165"/>
      <c r="F347" s="146"/>
      <c r="G347" s="173">
        <f>+I347/J347</f>
        <v>12953</v>
      </c>
      <c r="H347" s="208">
        <f t="shared" ref="H347:H348" si="125">+G347/360</f>
        <v>35.980555555555554</v>
      </c>
      <c r="I347" s="189">
        <f>SUM(I348)</f>
        <v>32382500000</v>
      </c>
      <c r="J347" s="218">
        <f>SUM(J348)</f>
        <v>2500000</v>
      </c>
      <c r="K347" s="184">
        <f>SUM(K348)</f>
        <v>1823750</v>
      </c>
      <c r="L347" s="31"/>
      <c r="M347" s="21"/>
      <c r="N347" s="27">
        <f>SUM(N348)</f>
        <v>112500</v>
      </c>
      <c r="O347" s="54">
        <f t="shared" ref="O347:O348" si="126">+N347/K347</f>
        <v>6.1686086360520906E-2</v>
      </c>
    </row>
    <row r="348" spans="2:15" s="22" customFormat="1" ht="21" customHeight="1" x14ac:dyDescent="0.2">
      <c r="B348" s="150" t="s">
        <v>132</v>
      </c>
      <c r="C348" s="148">
        <v>4.5</v>
      </c>
      <c r="D348" s="166">
        <v>44223</v>
      </c>
      <c r="E348" s="166">
        <v>58645</v>
      </c>
      <c r="F348" s="149">
        <v>45504</v>
      </c>
      <c r="G348" s="174">
        <f t="shared" ref="G348" si="127">DAYS360(F348,E348)</f>
        <v>12953</v>
      </c>
      <c r="H348" s="208">
        <f t="shared" si="125"/>
        <v>35.980555555555554</v>
      </c>
      <c r="I348" s="194">
        <f t="shared" ref="I348" si="128">+G348*J348</f>
        <v>32382500000</v>
      </c>
      <c r="J348" s="196">
        <v>2500000</v>
      </c>
      <c r="K348" s="183">
        <v>1823750</v>
      </c>
      <c r="L348" s="57">
        <f>SUM(L350+L354+L366+L357)</f>
        <v>0</v>
      </c>
      <c r="M348" s="21"/>
      <c r="N348" s="32">
        <f>+J348*C348/100</f>
        <v>112500</v>
      </c>
      <c r="O348" s="33">
        <f t="shared" si="126"/>
        <v>6.1686086360520906E-2</v>
      </c>
    </row>
    <row r="349" spans="2:15" s="22" customFormat="1" ht="21" customHeight="1" x14ac:dyDescent="0.2">
      <c r="B349" s="150"/>
      <c r="C349" s="148"/>
      <c r="D349" s="166"/>
      <c r="E349" s="166"/>
      <c r="F349" s="149"/>
      <c r="G349" s="175"/>
      <c r="H349" s="209"/>
      <c r="I349" s="168"/>
      <c r="J349" s="196"/>
      <c r="K349" s="183"/>
      <c r="L349" s="36"/>
      <c r="M349" s="21"/>
    </row>
    <row r="350" spans="2:15" s="22" customFormat="1" ht="21" customHeight="1" x14ac:dyDescent="0.2">
      <c r="B350" s="163" t="s">
        <v>134</v>
      </c>
      <c r="C350" s="148"/>
      <c r="D350" s="166"/>
      <c r="E350" s="166"/>
      <c r="F350" s="149"/>
      <c r="G350" s="173">
        <f>+I350/J350</f>
        <v>2732.7189497986842</v>
      </c>
      <c r="H350" s="207">
        <f t="shared" ref="H350" si="129">+G350/360</f>
        <v>7.5908859716630115</v>
      </c>
      <c r="I350" s="190">
        <f>SUM(I352+I355+I367+I358)</f>
        <v>2066077848100.25</v>
      </c>
      <c r="J350" s="219">
        <f>SUM(J352+J355+J367+J358)</f>
        <v>756052080.75</v>
      </c>
      <c r="K350" s="182">
        <f>SUM(K352+K355+K367+K358)</f>
        <v>754511280.75</v>
      </c>
      <c r="L350" s="31"/>
      <c r="M350" s="21"/>
      <c r="N350" s="35">
        <f>SUM(N352+N355+N367+N358)</f>
        <v>30792915.5425</v>
      </c>
      <c r="O350" s="58">
        <f t="shared" ref="O350:O369" si="130">+N350/K350</f>
        <v>4.0811736455273667E-2</v>
      </c>
    </row>
    <row r="351" spans="2:15" s="22" customFormat="1" ht="21" customHeight="1" x14ac:dyDescent="0.2">
      <c r="B351" s="163"/>
      <c r="C351" s="148"/>
      <c r="D351" s="166"/>
      <c r="E351" s="166"/>
      <c r="F351" s="149"/>
      <c r="G351" s="175"/>
      <c r="H351" s="209"/>
      <c r="I351" s="168"/>
      <c r="J351" s="219"/>
      <c r="K351" s="182"/>
      <c r="L351" s="31"/>
      <c r="M351" s="21"/>
      <c r="N351" s="36"/>
      <c r="O351" s="58"/>
    </row>
    <row r="352" spans="2:15" s="22" customFormat="1" ht="24" customHeight="1" x14ac:dyDescent="0.2">
      <c r="B352" s="144" t="s">
        <v>135</v>
      </c>
      <c r="C352" s="156"/>
      <c r="D352" s="165"/>
      <c r="E352" s="165"/>
      <c r="F352" s="146"/>
      <c r="G352" s="173">
        <f>+I352/J352</f>
        <v>1947</v>
      </c>
      <c r="H352" s="208">
        <f t="shared" ref="H352:H369" si="131">+G352/360</f>
        <v>5.4083333333333332</v>
      </c>
      <c r="I352" s="189">
        <f>SUM(I353:I354)</f>
        <v>648688066100.25</v>
      </c>
      <c r="J352" s="218">
        <f>SUM(J353:J354)</f>
        <v>333173120.75</v>
      </c>
      <c r="K352" s="184">
        <f>SUM(K353:K354)</f>
        <v>333173120.75</v>
      </c>
      <c r="L352" s="31"/>
      <c r="M352" s="21"/>
      <c r="N352" s="27">
        <f>SUM(N353:N354)</f>
        <v>9995193.6225000005</v>
      </c>
      <c r="O352" s="58">
        <f t="shared" si="130"/>
        <v>3.0000000000000002E-2</v>
      </c>
    </row>
    <row r="353" spans="2:15" s="22" customFormat="1" ht="21" customHeight="1" x14ac:dyDescent="0.2">
      <c r="B353" s="153" t="s">
        <v>253</v>
      </c>
      <c r="C353" s="148">
        <v>3</v>
      </c>
      <c r="D353" s="166">
        <v>43826</v>
      </c>
      <c r="E353" s="166">
        <v>47479</v>
      </c>
      <c r="F353" s="149">
        <v>45504</v>
      </c>
      <c r="G353" s="174">
        <f t="shared" ref="G353:G354" si="132">DAYS360(F353,E353)</f>
        <v>1947</v>
      </c>
      <c r="H353" s="208">
        <f t="shared" si="131"/>
        <v>5.4083333333333332</v>
      </c>
      <c r="I353" s="194">
        <f t="shared" ref="I353:I354" si="133">+G353*J353</f>
        <v>140155009.16999999</v>
      </c>
      <c r="J353" s="196">
        <v>71985.11</v>
      </c>
      <c r="K353" s="186">
        <v>71985.11</v>
      </c>
      <c r="L353" s="31"/>
      <c r="M353" s="21"/>
      <c r="N353" s="32">
        <f>+J353*C353/100</f>
        <v>2159.5533</v>
      </c>
      <c r="O353" s="33">
        <f t="shared" si="130"/>
        <v>0.03</v>
      </c>
    </row>
    <row r="354" spans="2:15" s="22" customFormat="1" ht="54" customHeight="1" x14ac:dyDescent="0.2">
      <c r="B354" s="157" t="s">
        <v>254</v>
      </c>
      <c r="C354" s="148">
        <v>3</v>
      </c>
      <c r="D354" s="166">
        <v>44260</v>
      </c>
      <c r="E354" s="166">
        <v>47479</v>
      </c>
      <c r="F354" s="149">
        <v>45504</v>
      </c>
      <c r="G354" s="174">
        <f t="shared" si="132"/>
        <v>1947</v>
      </c>
      <c r="H354" s="208">
        <f t="shared" si="131"/>
        <v>5.4083333333333332</v>
      </c>
      <c r="I354" s="194">
        <f t="shared" si="133"/>
        <v>648547911091.07996</v>
      </c>
      <c r="J354" s="196">
        <v>333101135.63999999</v>
      </c>
      <c r="K354" s="186">
        <v>333101135.63999999</v>
      </c>
      <c r="L354" s="34"/>
      <c r="M354" s="21"/>
      <c r="N354" s="32">
        <f>+J354*C354/100</f>
        <v>9993034.0691999998</v>
      </c>
      <c r="O354" s="33">
        <f t="shared" si="130"/>
        <v>3.0000000000000002E-2</v>
      </c>
    </row>
    <row r="355" spans="2:15" s="22" customFormat="1" ht="24.75" customHeight="1" x14ac:dyDescent="0.2">
      <c r="B355" s="144" t="s">
        <v>137</v>
      </c>
      <c r="C355" s="156"/>
      <c r="D355" s="165"/>
      <c r="E355" s="165"/>
      <c r="F355" s="146"/>
      <c r="G355" s="173">
        <f>+I355/J355</f>
        <v>2490</v>
      </c>
      <c r="H355" s="208">
        <f t="shared" si="131"/>
        <v>6.916666666666667</v>
      </c>
      <c r="I355" s="189">
        <f>SUM(I356:I357)</f>
        <v>197457000000</v>
      </c>
      <c r="J355" s="218">
        <f>SUM(J356:J357)</f>
        <v>79300000</v>
      </c>
      <c r="K355" s="184">
        <f>SUM(K356:K357)</f>
        <v>79288950</v>
      </c>
      <c r="L355" s="34"/>
      <c r="M355" s="21"/>
      <c r="N355" s="27">
        <f>SUM(N356:N357)</f>
        <v>2666066</v>
      </c>
      <c r="O355" s="58">
        <f t="shared" si="130"/>
        <v>3.3624685406982942E-2</v>
      </c>
    </row>
    <row r="356" spans="2:15" s="22" customFormat="1" ht="24.75" customHeight="1" x14ac:dyDescent="0.2">
      <c r="B356" s="153" t="s">
        <v>255</v>
      </c>
      <c r="C356" s="158">
        <v>3.3620000000000001</v>
      </c>
      <c r="D356" s="166">
        <v>44377</v>
      </c>
      <c r="E356" s="166">
        <v>48029</v>
      </c>
      <c r="F356" s="149">
        <v>45504</v>
      </c>
      <c r="G356" s="174">
        <f t="shared" ref="G356:G357" si="134">DAYS360(F356,E356)</f>
        <v>2490</v>
      </c>
      <c r="H356" s="208">
        <f t="shared" si="131"/>
        <v>6.916666666666667</v>
      </c>
      <c r="I356" s="194">
        <f t="shared" ref="I356:I357" si="135">+G356*J356</f>
        <v>194220000000</v>
      </c>
      <c r="J356" s="220">
        <v>78000000</v>
      </c>
      <c r="K356" s="221">
        <v>78000000</v>
      </c>
      <c r="L356" s="34"/>
      <c r="M356" s="21"/>
      <c r="N356" s="32">
        <f>+J356*C356/100</f>
        <v>2622360</v>
      </c>
      <c r="O356" s="33">
        <f t="shared" si="130"/>
        <v>3.3619999999999997E-2</v>
      </c>
    </row>
    <row r="357" spans="2:15" s="22" customFormat="1" ht="22.5" customHeight="1" x14ac:dyDescent="0.2">
      <c r="B357" s="153" t="s">
        <v>256</v>
      </c>
      <c r="C357" s="158">
        <v>3.3620000000000001</v>
      </c>
      <c r="D357" s="166">
        <v>44497</v>
      </c>
      <c r="E357" s="166">
        <v>48029</v>
      </c>
      <c r="F357" s="149">
        <v>45504</v>
      </c>
      <c r="G357" s="174">
        <f t="shared" si="134"/>
        <v>2490</v>
      </c>
      <c r="H357" s="208">
        <f t="shared" si="131"/>
        <v>6.916666666666667</v>
      </c>
      <c r="I357" s="194">
        <f t="shared" si="135"/>
        <v>3237000000</v>
      </c>
      <c r="J357" s="220">
        <v>1300000</v>
      </c>
      <c r="K357" s="221">
        <v>1288950</v>
      </c>
      <c r="L357" s="34"/>
      <c r="M357" s="21"/>
      <c r="N357" s="32">
        <f>+J357*C357/100</f>
        <v>43706</v>
      </c>
      <c r="O357" s="33">
        <f t="shared" si="130"/>
        <v>3.3908219868885529E-2</v>
      </c>
    </row>
    <row r="358" spans="2:15" s="22" customFormat="1" ht="24" customHeight="1" x14ac:dyDescent="0.2">
      <c r="B358" s="144" t="s">
        <v>257</v>
      </c>
      <c r="C358" s="156"/>
      <c r="D358" s="165"/>
      <c r="E358" s="165"/>
      <c r="F358" s="146"/>
      <c r="G358" s="173">
        <f>+I358/J358</f>
        <v>3205</v>
      </c>
      <c r="H358" s="208">
        <f t="shared" si="131"/>
        <v>8.9027777777777786</v>
      </c>
      <c r="I358" s="189">
        <f>SUM(I359:I366)</f>
        <v>72433000000</v>
      </c>
      <c r="J358" s="218">
        <f>SUM(J359:J366)</f>
        <v>22600000</v>
      </c>
      <c r="K358" s="184">
        <f>SUM(K359:K366)</f>
        <v>21070250</v>
      </c>
      <c r="L358" s="34"/>
      <c r="M358" s="21"/>
      <c r="N358" s="27">
        <f>SUM(N359:N366)</f>
        <v>1440750</v>
      </c>
      <c r="O358" s="58">
        <f t="shared" si="130"/>
        <v>6.8378400825808899E-2</v>
      </c>
    </row>
    <row r="359" spans="2:15" s="22" customFormat="1" ht="24" customHeight="1" x14ac:dyDescent="0.2">
      <c r="B359" s="153" t="s">
        <v>258</v>
      </c>
      <c r="C359" s="158">
        <v>6.375</v>
      </c>
      <c r="D359" s="166">
        <v>45398</v>
      </c>
      <c r="E359" s="166">
        <v>48755</v>
      </c>
      <c r="F359" s="149">
        <v>45504</v>
      </c>
      <c r="G359" s="174">
        <f t="shared" ref="G359:G366" si="136">DAYS360(F359,E359)</f>
        <v>3205</v>
      </c>
      <c r="H359" s="208">
        <f t="shared" si="131"/>
        <v>8.9027777777777786</v>
      </c>
      <c r="I359" s="194">
        <f t="shared" ref="I359:I366" si="137">+G359*J359</f>
        <v>9615000000</v>
      </c>
      <c r="J359" s="220">
        <v>3000000</v>
      </c>
      <c r="K359" s="221">
        <v>2773800</v>
      </c>
      <c r="L359" s="34"/>
      <c r="M359" s="21"/>
      <c r="N359" s="32">
        <f t="shared" ref="N359:N366" si="138">+J359*C359/100</f>
        <v>191250</v>
      </c>
      <c r="O359" s="33">
        <f t="shared" si="130"/>
        <v>6.8948734587929911E-2</v>
      </c>
    </row>
    <row r="360" spans="2:15" s="22" customFormat="1" ht="24" customHeight="1" x14ac:dyDescent="0.2">
      <c r="B360" s="153" t="s">
        <v>259</v>
      </c>
      <c r="C360" s="158">
        <v>6.375</v>
      </c>
      <c r="D360" s="166">
        <v>45399</v>
      </c>
      <c r="E360" s="166">
        <v>48755</v>
      </c>
      <c r="F360" s="149">
        <v>45504</v>
      </c>
      <c r="G360" s="174">
        <f t="shared" si="136"/>
        <v>3205</v>
      </c>
      <c r="H360" s="208">
        <f t="shared" si="131"/>
        <v>8.9027777777777786</v>
      </c>
      <c r="I360" s="194">
        <f t="shared" si="137"/>
        <v>6089500000</v>
      </c>
      <c r="J360" s="220">
        <v>1900000</v>
      </c>
      <c r="K360" s="221">
        <v>1756360</v>
      </c>
      <c r="L360" s="34"/>
      <c r="M360" s="21"/>
      <c r="N360" s="32">
        <f t="shared" si="138"/>
        <v>121125</v>
      </c>
      <c r="O360" s="33">
        <f t="shared" si="130"/>
        <v>6.8963652098658595E-2</v>
      </c>
    </row>
    <row r="361" spans="2:15" s="22" customFormat="1" ht="24" customHeight="1" x14ac:dyDescent="0.2">
      <c r="B361" s="153" t="s">
        <v>260</v>
      </c>
      <c r="C361" s="158">
        <v>6.375</v>
      </c>
      <c r="D361" s="166">
        <v>45400</v>
      </c>
      <c r="E361" s="166">
        <v>48755</v>
      </c>
      <c r="F361" s="149">
        <v>45504</v>
      </c>
      <c r="G361" s="174">
        <f t="shared" si="136"/>
        <v>3205</v>
      </c>
      <c r="H361" s="208">
        <f t="shared" si="131"/>
        <v>8.9027777777777786</v>
      </c>
      <c r="I361" s="194">
        <f t="shared" si="137"/>
        <v>16025000000</v>
      </c>
      <c r="J361" s="220">
        <v>5000000</v>
      </c>
      <c r="K361" s="221">
        <v>4621000</v>
      </c>
      <c r="L361" s="34"/>
      <c r="M361" s="21"/>
      <c r="N361" s="32">
        <f t="shared" si="138"/>
        <v>318750</v>
      </c>
      <c r="O361" s="33">
        <f t="shared" si="130"/>
        <v>6.8978576065786626E-2</v>
      </c>
    </row>
    <row r="362" spans="2:15" s="22" customFormat="1" ht="24" customHeight="1" x14ac:dyDescent="0.2">
      <c r="B362" s="153" t="s">
        <v>261</v>
      </c>
      <c r="C362" s="158">
        <v>6.375</v>
      </c>
      <c r="D362" s="166">
        <v>45401</v>
      </c>
      <c r="E362" s="166">
        <v>48755</v>
      </c>
      <c r="F362" s="149">
        <v>45504</v>
      </c>
      <c r="G362" s="174">
        <f t="shared" si="136"/>
        <v>3205</v>
      </c>
      <c r="H362" s="208">
        <f t="shared" si="131"/>
        <v>8.9027777777777786</v>
      </c>
      <c r="I362" s="194">
        <f t="shared" si="137"/>
        <v>3205000000</v>
      </c>
      <c r="J362" s="220">
        <v>1000000</v>
      </c>
      <c r="K362" s="221">
        <v>924000</v>
      </c>
      <c r="L362" s="34"/>
      <c r="M362" s="21"/>
      <c r="N362" s="32">
        <f t="shared" si="138"/>
        <v>63750</v>
      </c>
      <c r="O362" s="33">
        <f t="shared" si="130"/>
        <v>6.8993506493506496E-2</v>
      </c>
    </row>
    <row r="363" spans="2:15" s="22" customFormat="1" ht="25.5" customHeight="1" x14ac:dyDescent="0.2">
      <c r="B363" s="153" t="s">
        <v>262</v>
      </c>
      <c r="C363" s="158">
        <v>6.375</v>
      </c>
      <c r="D363" s="166">
        <v>45407</v>
      </c>
      <c r="E363" s="166">
        <v>48755</v>
      </c>
      <c r="F363" s="149">
        <v>45504</v>
      </c>
      <c r="G363" s="174">
        <f t="shared" si="136"/>
        <v>3205</v>
      </c>
      <c r="H363" s="208">
        <f t="shared" si="131"/>
        <v>8.9027777777777786</v>
      </c>
      <c r="I363" s="194">
        <f t="shared" si="137"/>
        <v>11217500000</v>
      </c>
      <c r="J363" s="220">
        <v>3500000</v>
      </c>
      <c r="K363" s="221">
        <v>3219650</v>
      </c>
      <c r="L363" s="31"/>
      <c r="M363" s="21"/>
      <c r="N363" s="32">
        <f t="shared" si="138"/>
        <v>223125</v>
      </c>
      <c r="O363" s="33">
        <f t="shared" si="130"/>
        <v>6.9301010979454292E-2</v>
      </c>
    </row>
    <row r="364" spans="2:15" s="22" customFormat="1" ht="25.5" customHeight="1" x14ac:dyDescent="0.2">
      <c r="B364" s="153" t="s">
        <v>263</v>
      </c>
      <c r="C364" s="158">
        <v>6.375</v>
      </c>
      <c r="D364" s="166">
        <v>45471</v>
      </c>
      <c r="E364" s="166">
        <v>48755</v>
      </c>
      <c r="F364" s="149">
        <v>45504</v>
      </c>
      <c r="G364" s="174">
        <f t="shared" si="136"/>
        <v>3205</v>
      </c>
      <c r="H364" s="208">
        <f t="shared" si="131"/>
        <v>8.9027777777777786</v>
      </c>
      <c r="I364" s="194">
        <f t="shared" si="137"/>
        <v>8012500000</v>
      </c>
      <c r="J364" s="220">
        <v>2500000</v>
      </c>
      <c r="K364" s="221">
        <v>2371000</v>
      </c>
      <c r="L364" s="31"/>
      <c r="M364" s="21"/>
      <c r="N364" s="32">
        <f t="shared" si="138"/>
        <v>159375</v>
      </c>
      <c r="O364" s="33">
        <f t="shared" si="130"/>
        <v>6.7218473218051453E-2</v>
      </c>
    </row>
    <row r="365" spans="2:15" s="22" customFormat="1" ht="25.5" customHeight="1" x14ac:dyDescent="0.2">
      <c r="B365" s="153" t="s">
        <v>264</v>
      </c>
      <c r="C365" s="158">
        <v>6.375</v>
      </c>
      <c r="D365" s="166">
        <v>45471</v>
      </c>
      <c r="E365" s="166">
        <v>48755</v>
      </c>
      <c r="F365" s="149">
        <v>45504</v>
      </c>
      <c r="G365" s="174">
        <f t="shared" si="136"/>
        <v>3205</v>
      </c>
      <c r="H365" s="208">
        <f t="shared" si="131"/>
        <v>8.9027777777777786</v>
      </c>
      <c r="I365" s="194">
        <f t="shared" si="137"/>
        <v>8012500000</v>
      </c>
      <c r="J365" s="220">
        <v>2500000</v>
      </c>
      <c r="K365" s="221">
        <v>2375000</v>
      </c>
      <c r="L365" s="31"/>
      <c r="M365" s="21"/>
      <c r="N365" s="32">
        <f t="shared" si="138"/>
        <v>159375</v>
      </c>
      <c r="O365" s="33">
        <f t="shared" si="130"/>
        <v>6.7105263157894737E-2</v>
      </c>
    </row>
    <row r="366" spans="2:15" s="22" customFormat="1" ht="24.75" customHeight="1" x14ac:dyDescent="0.2">
      <c r="B366" s="153" t="s">
        <v>265</v>
      </c>
      <c r="C366" s="158">
        <v>6.375</v>
      </c>
      <c r="D366" s="166">
        <v>45475</v>
      </c>
      <c r="E366" s="166">
        <v>48755</v>
      </c>
      <c r="F366" s="149">
        <v>45504</v>
      </c>
      <c r="G366" s="174">
        <f t="shared" si="136"/>
        <v>3205</v>
      </c>
      <c r="H366" s="208">
        <f t="shared" si="131"/>
        <v>8.9027777777777786</v>
      </c>
      <c r="I366" s="194">
        <f t="shared" si="137"/>
        <v>10256000000</v>
      </c>
      <c r="J366" s="220">
        <v>3200000</v>
      </c>
      <c r="K366" s="221">
        <v>3029440</v>
      </c>
      <c r="L366" s="34"/>
      <c r="M366" s="21"/>
      <c r="N366" s="32">
        <f t="shared" si="138"/>
        <v>204000</v>
      </c>
      <c r="O366" s="33">
        <f t="shared" si="130"/>
        <v>6.733917819795078E-2</v>
      </c>
    </row>
    <row r="367" spans="2:15" s="22" customFormat="1" ht="24" customHeight="1" x14ac:dyDescent="0.2">
      <c r="B367" s="144" t="s">
        <v>139</v>
      </c>
      <c r="C367" s="156"/>
      <c r="D367" s="165"/>
      <c r="E367" s="165"/>
      <c r="F367" s="146"/>
      <c r="G367" s="173">
        <f>+I367/J367</f>
        <v>3575</v>
      </c>
      <c r="H367" s="208">
        <f t="shared" si="131"/>
        <v>9.9305555555555554</v>
      </c>
      <c r="I367" s="189">
        <f>SUM(I368:I369)</f>
        <v>1147499782000</v>
      </c>
      <c r="J367" s="218">
        <f>SUM(J368:J369)</f>
        <v>320978960</v>
      </c>
      <c r="K367" s="184">
        <f>SUM(K368:K369)</f>
        <v>320978960</v>
      </c>
      <c r="L367" s="34"/>
      <c r="M367" s="21"/>
      <c r="N367" s="27">
        <f>SUM(N368:N369)</f>
        <v>16690905.92</v>
      </c>
      <c r="O367" s="58">
        <f t="shared" si="130"/>
        <v>5.1999999999999998E-2</v>
      </c>
    </row>
    <row r="368" spans="2:15" s="22" customFormat="1" ht="24" customHeight="1" x14ac:dyDescent="0.2">
      <c r="B368" s="153" t="s">
        <v>140</v>
      </c>
      <c r="C368" s="158">
        <v>5.2</v>
      </c>
      <c r="D368" s="166">
        <v>44747</v>
      </c>
      <c r="E368" s="166">
        <v>49130</v>
      </c>
      <c r="F368" s="149">
        <v>45504</v>
      </c>
      <c r="G368" s="174">
        <f t="shared" ref="G368:G369" si="139">DAYS360(F368,E368)</f>
        <v>3575</v>
      </c>
      <c r="H368" s="208">
        <f t="shared" si="131"/>
        <v>9.9305555555555554</v>
      </c>
      <c r="I368" s="194">
        <f t="shared" ref="I368:I369" si="140">+G368*J368</f>
        <v>1143937509000</v>
      </c>
      <c r="J368" s="220">
        <v>319982520</v>
      </c>
      <c r="K368" s="221">
        <v>319982520</v>
      </c>
      <c r="L368" s="34"/>
      <c r="M368" s="21"/>
      <c r="N368" s="32">
        <f>+J368*C368/100</f>
        <v>16639091.039999999</v>
      </c>
      <c r="O368" s="33">
        <f t="shared" si="130"/>
        <v>5.1999999999999998E-2</v>
      </c>
    </row>
    <row r="369" spans="2:15" s="22" customFormat="1" ht="23.25" customHeight="1" x14ac:dyDescent="0.2">
      <c r="B369" s="153" t="s">
        <v>141</v>
      </c>
      <c r="C369" s="158">
        <v>5.2</v>
      </c>
      <c r="D369" s="166">
        <v>44747</v>
      </c>
      <c r="E369" s="166">
        <v>49130</v>
      </c>
      <c r="F369" s="149">
        <v>45504</v>
      </c>
      <c r="G369" s="174">
        <f t="shared" si="139"/>
        <v>3575</v>
      </c>
      <c r="H369" s="208">
        <f t="shared" si="131"/>
        <v>9.9305555555555554</v>
      </c>
      <c r="I369" s="194">
        <f t="shared" si="140"/>
        <v>3562273000</v>
      </c>
      <c r="J369" s="220">
        <v>996440</v>
      </c>
      <c r="K369" s="221">
        <v>996440</v>
      </c>
      <c r="L369" s="59">
        <f>L371</f>
        <v>0</v>
      </c>
      <c r="M369" s="21"/>
      <c r="N369" s="32">
        <f>+J369*C369/100</f>
        <v>51814.879999999997</v>
      </c>
      <c r="O369" s="33">
        <f t="shared" si="130"/>
        <v>5.1999999999999998E-2</v>
      </c>
    </row>
    <row r="370" spans="2:15" s="22" customFormat="1" ht="23.25" customHeight="1" x14ac:dyDescent="0.2">
      <c r="B370" s="153"/>
      <c r="C370" s="158"/>
      <c r="D370" s="166"/>
      <c r="E370" s="166"/>
      <c r="F370" s="149"/>
      <c r="G370" s="175"/>
      <c r="H370" s="209"/>
      <c r="I370" s="168"/>
      <c r="J370" s="220"/>
      <c r="K370" s="221"/>
      <c r="L370" s="60"/>
      <c r="M370" s="21"/>
      <c r="N370" s="32"/>
      <c r="O370" s="33"/>
    </row>
    <row r="371" spans="2:15" s="22" customFormat="1" ht="24" customHeight="1" x14ac:dyDescent="0.2">
      <c r="B371" s="144" t="s">
        <v>266</v>
      </c>
      <c r="C371" s="158"/>
      <c r="D371" s="166"/>
      <c r="E371" s="166"/>
      <c r="F371" s="149"/>
      <c r="G371" s="173">
        <f>+I371/J371</f>
        <v>286</v>
      </c>
      <c r="H371" s="207">
        <f t="shared" ref="H371" si="141">+G371/360</f>
        <v>0.7944444444444444</v>
      </c>
      <c r="I371" s="193">
        <f>I372</f>
        <v>8008000000</v>
      </c>
      <c r="J371" s="222">
        <f>J372</f>
        <v>28000000</v>
      </c>
      <c r="K371" s="223">
        <f t="shared" ref="K371" si="142">K372</f>
        <v>26359200</v>
      </c>
      <c r="L371" s="34"/>
      <c r="M371" s="21"/>
      <c r="N371" s="27">
        <f>SUM(N372:N373)</f>
        <v>1723680</v>
      </c>
      <c r="O371" s="58">
        <f t="shared" ref="O371:O373" si="143">+N371/K371</f>
        <v>6.5391969407265771E-2</v>
      </c>
    </row>
    <row r="372" spans="2:15" s="22" customFormat="1" ht="25.5" customHeight="1" x14ac:dyDescent="0.2">
      <c r="B372" s="144" t="s">
        <v>267</v>
      </c>
      <c r="C372" s="158"/>
      <c r="D372" s="166"/>
      <c r="E372" s="166"/>
      <c r="F372" s="149"/>
      <c r="G372" s="175"/>
      <c r="H372" s="209"/>
      <c r="I372" s="192">
        <f>I373</f>
        <v>8008000000</v>
      </c>
      <c r="J372" s="220">
        <f>J373</f>
        <v>28000000</v>
      </c>
      <c r="K372" s="221">
        <f>K373</f>
        <v>26359200</v>
      </c>
      <c r="L372" s="34"/>
      <c r="M372" s="21"/>
    </row>
    <row r="373" spans="2:15" s="22" customFormat="1" ht="18.75" customHeight="1" x14ac:dyDescent="0.2">
      <c r="B373" s="153" t="s">
        <v>268</v>
      </c>
      <c r="C373" s="158">
        <v>6.1559999999999997</v>
      </c>
      <c r="D373" s="166">
        <v>45429</v>
      </c>
      <c r="E373" s="166">
        <v>45793</v>
      </c>
      <c r="F373" s="149">
        <v>45504</v>
      </c>
      <c r="G373" s="174">
        <f t="shared" ref="G373" si="144">DAYS360(F373,E373)</f>
        <v>286</v>
      </c>
      <c r="H373" s="208">
        <f t="shared" ref="H373" si="145">+G373/360</f>
        <v>0.7944444444444444</v>
      </c>
      <c r="I373" s="194">
        <f t="shared" ref="I373" si="146">+G373*J373</f>
        <v>8008000000</v>
      </c>
      <c r="J373" s="220">
        <v>28000000</v>
      </c>
      <c r="K373" s="221">
        <v>26359200</v>
      </c>
      <c r="L373" s="34"/>
      <c r="M373" s="21"/>
      <c r="N373" s="32">
        <f>+J373*C373/100</f>
        <v>1723680</v>
      </c>
      <c r="O373" s="33">
        <f t="shared" si="143"/>
        <v>6.5391969407265771E-2</v>
      </c>
    </row>
    <row r="374" spans="2:15" s="22" customFormat="1" ht="18.75" customHeight="1" x14ac:dyDescent="0.2">
      <c r="B374" s="153"/>
      <c r="C374" s="158"/>
      <c r="D374" s="166"/>
      <c r="E374" s="166"/>
      <c r="F374" s="149"/>
      <c r="G374" s="175"/>
      <c r="H374" s="209"/>
      <c r="I374" s="168"/>
      <c r="J374" s="220"/>
      <c r="K374" s="221"/>
      <c r="L374" s="34"/>
      <c r="M374" s="21"/>
      <c r="N374" s="32"/>
      <c r="O374" s="33"/>
    </row>
    <row r="375" spans="2:15" s="22" customFormat="1" ht="24.75" customHeight="1" x14ac:dyDescent="0.2">
      <c r="B375" s="144" t="s">
        <v>142</v>
      </c>
      <c r="C375" s="158"/>
      <c r="D375" s="166"/>
      <c r="E375" s="166"/>
      <c r="F375" s="149"/>
      <c r="G375" s="173"/>
      <c r="H375" s="210"/>
      <c r="I375" s="193"/>
      <c r="J375" s="222">
        <f t="shared" ref="I375:K376" si="147">SUM(J376)</f>
        <v>69617063.469999999</v>
      </c>
      <c r="K375" s="223">
        <f t="shared" si="147"/>
        <v>69510549.359999999</v>
      </c>
      <c r="L375" s="21"/>
      <c r="M375" s="21"/>
      <c r="N375" s="61">
        <f>SUM(N376)</f>
        <v>2610639.8801249997</v>
      </c>
      <c r="O375" s="58">
        <f t="shared" ref="O375:O377" si="148">+N375/K375</f>
        <v>3.755746291982693E-2</v>
      </c>
    </row>
    <row r="376" spans="2:15" s="22" customFormat="1" ht="23.25" customHeight="1" x14ac:dyDescent="0.2">
      <c r="B376" s="144" t="s">
        <v>143</v>
      </c>
      <c r="C376" s="164"/>
      <c r="D376" s="167"/>
      <c r="E376" s="167"/>
      <c r="F376" s="152"/>
      <c r="G376" s="176"/>
      <c r="H376" s="210"/>
      <c r="I376" s="194">
        <f t="shared" si="147"/>
        <v>42953728160.989998</v>
      </c>
      <c r="J376" s="224">
        <f t="shared" si="147"/>
        <v>69617063.469999999</v>
      </c>
      <c r="K376" s="183">
        <f t="shared" si="147"/>
        <v>69510549.359999999</v>
      </c>
      <c r="L376" s="21"/>
      <c r="M376" s="21"/>
      <c r="N376" s="30">
        <f>SUM(N377)</f>
        <v>2610639.8801249997</v>
      </c>
      <c r="O376" s="33">
        <f t="shared" si="148"/>
        <v>3.755746291982693E-2</v>
      </c>
    </row>
    <row r="377" spans="2:15" ht="21" customHeight="1" x14ac:dyDescent="0.25">
      <c r="B377" s="153" t="s">
        <v>144</v>
      </c>
      <c r="C377" s="148">
        <v>3.75</v>
      </c>
      <c r="D377" s="166">
        <v>43572</v>
      </c>
      <c r="E377" s="166">
        <v>46129</v>
      </c>
      <c r="F377" s="149">
        <v>45504</v>
      </c>
      <c r="G377" s="174">
        <f t="shared" ref="G377" si="149">DAYS360(F377,E377)</f>
        <v>617</v>
      </c>
      <c r="H377" s="208">
        <f t="shared" ref="H377" si="150">+G377/360</f>
        <v>1.7138888888888888</v>
      </c>
      <c r="I377" s="194">
        <f t="shared" ref="I377" si="151">+G377*J377</f>
        <v>42953728160.989998</v>
      </c>
      <c r="J377" s="196">
        <v>69617063.469999999</v>
      </c>
      <c r="K377" s="183">
        <v>69510549.359999999</v>
      </c>
      <c r="L377" s="21"/>
      <c r="N377" s="32">
        <f>+J377*C377/100</f>
        <v>2610639.8801249997</v>
      </c>
      <c r="O377" s="33">
        <f t="shared" si="148"/>
        <v>3.755746291982693E-2</v>
      </c>
    </row>
    <row r="378" spans="2:15" ht="21" customHeight="1" x14ac:dyDescent="0.25">
      <c r="B378" s="153"/>
      <c r="C378" s="148"/>
      <c r="D378" s="166"/>
      <c r="E378" s="166"/>
      <c r="F378" s="149"/>
      <c r="G378" s="175"/>
      <c r="H378" s="209"/>
      <c r="I378" s="200"/>
      <c r="J378" s="196"/>
      <c r="K378" s="183"/>
      <c r="L378" s="21"/>
      <c r="N378" s="32"/>
      <c r="O378" s="33"/>
    </row>
    <row r="379" spans="2:15" ht="22.5" customHeight="1" x14ac:dyDescent="0.25">
      <c r="B379" s="163" t="s">
        <v>10</v>
      </c>
      <c r="C379" s="156"/>
      <c r="D379" s="169"/>
      <c r="E379" s="169"/>
      <c r="F379" s="160"/>
      <c r="G379" s="173">
        <f>+I379/J379</f>
        <v>1834</v>
      </c>
      <c r="H379" s="207">
        <f t="shared" ref="H379:H381" si="152">+G379/360</f>
        <v>5.0944444444444441</v>
      </c>
      <c r="I379" s="195">
        <f>+I381</f>
        <v>267534053630.20001</v>
      </c>
      <c r="J379" s="197">
        <f>+J381</f>
        <v>145874620.30000001</v>
      </c>
      <c r="K379" s="185">
        <f>+K381+K383</f>
        <v>264374620.30000001</v>
      </c>
      <c r="L379" s="21"/>
    </row>
    <row r="380" spans="2:15" ht="40.5" customHeight="1" x14ac:dyDescent="0.25">
      <c r="B380" s="163" t="s">
        <v>323</v>
      </c>
      <c r="C380" s="156"/>
      <c r="D380" s="169"/>
      <c r="E380" s="169"/>
      <c r="F380" s="160"/>
      <c r="G380" s="173"/>
      <c r="H380" s="207"/>
      <c r="I380" s="195"/>
      <c r="J380" s="197"/>
      <c r="K380" s="185"/>
      <c r="L380" s="21"/>
    </row>
    <row r="381" spans="2:15" ht="31.5" customHeight="1" x14ac:dyDescent="0.25">
      <c r="B381" s="161" t="s">
        <v>148</v>
      </c>
      <c r="C381" s="148">
        <v>3</v>
      </c>
      <c r="D381" s="166">
        <v>43712</v>
      </c>
      <c r="E381" s="166">
        <v>47365</v>
      </c>
      <c r="F381" s="149">
        <v>45504</v>
      </c>
      <c r="G381" s="174">
        <f t="shared" ref="G381" si="153">DAYS360(F381,E381)</f>
        <v>1834</v>
      </c>
      <c r="H381" s="208">
        <f t="shared" si="152"/>
        <v>5.0944444444444441</v>
      </c>
      <c r="I381" s="194">
        <f t="shared" ref="I381" si="154">+G381*J381</f>
        <v>267534053630.20001</v>
      </c>
      <c r="J381" s="196">
        <v>145874620.30000001</v>
      </c>
      <c r="K381" s="225">
        <v>145874620.30000001</v>
      </c>
      <c r="L381" s="21"/>
      <c r="N381" s="53">
        <f>+J381*C381/100</f>
        <v>4376238.6090000002</v>
      </c>
      <c r="O381" s="58">
        <f t="shared" ref="O381" si="155">+N381/K381</f>
        <v>0.03</v>
      </c>
    </row>
    <row r="382" spans="2:15" ht="31.5" customHeight="1" x14ac:dyDescent="0.25">
      <c r="B382" s="161"/>
      <c r="C382" s="148"/>
      <c r="D382" s="166"/>
      <c r="E382" s="166"/>
      <c r="F382" s="149"/>
      <c r="G382" s="175"/>
      <c r="H382" s="209"/>
      <c r="I382" s="200"/>
      <c r="J382" s="196"/>
      <c r="K382" s="186"/>
      <c r="L382" s="21"/>
      <c r="N382" s="32"/>
      <c r="O382" s="33"/>
    </row>
    <row r="383" spans="2:15" ht="36" customHeight="1" x14ac:dyDescent="0.25">
      <c r="B383" s="368" t="s">
        <v>324</v>
      </c>
      <c r="C383" s="148"/>
      <c r="D383" s="166"/>
      <c r="E383" s="166"/>
      <c r="F383" s="149"/>
      <c r="G383" s="173">
        <f>+I383/J383</f>
        <v>2477.9493670886077</v>
      </c>
      <c r="H383" s="207">
        <f t="shared" ref="H383:H387" si="156">+G383/360</f>
        <v>6.8831926863572432</v>
      </c>
      <c r="I383" s="198">
        <f>SUM(I384:I387)</f>
        <v>293637000000</v>
      </c>
      <c r="J383" s="191">
        <f>SUM(J384:J387)</f>
        <v>118500000</v>
      </c>
      <c r="K383" s="225">
        <f>SUM(K384:K387)</f>
        <v>118500000</v>
      </c>
      <c r="L383" s="21"/>
      <c r="N383" s="41">
        <f>SUM(N384:N387)</f>
        <v>4205250</v>
      </c>
      <c r="O383" s="58">
        <f t="shared" ref="O383:O387" si="157">+N383/K383</f>
        <v>3.5487341772151897E-2</v>
      </c>
    </row>
    <row r="384" spans="2:15" ht="35.25" customHeight="1" x14ac:dyDescent="0.25">
      <c r="B384" s="161" t="s">
        <v>149</v>
      </c>
      <c r="C384" s="148">
        <v>3.25</v>
      </c>
      <c r="D384" s="166">
        <v>44545</v>
      </c>
      <c r="E384" s="166">
        <v>47467</v>
      </c>
      <c r="F384" s="149">
        <v>45504</v>
      </c>
      <c r="G384" s="174">
        <f t="shared" ref="G384:G387" si="158">DAYS360(F384,E384)</f>
        <v>1935</v>
      </c>
      <c r="H384" s="208">
        <f t="shared" si="156"/>
        <v>5.375</v>
      </c>
      <c r="I384" s="194">
        <f t="shared" ref="I384:I387" si="159">+G384*J384</f>
        <v>58050000000</v>
      </c>
      <c r="J384" s="196">
        <v>30000000</v>
      </c>
      <c r="K384" s="186">
        <v>30000000</v>
      </c>
      <c r="L384" s="21"/>
      <c r="N384" s="32">
        <f>+J384*C384/100</f>
        <v>975000</v>
      </c>
      <c r="O384" s="33">
        <f t="shared" si="157"/>
        <v>3.2500000000000001E-2</v>
      </c>
    </row>
    <row r="385" spans="2:15" ht="31.5" customHeight="1" x14ac:dyDescent="0.25">
      <c r="B385" s="161" t="s">
        <v>151</v>
      </c>
      <c r="C385" s="148">
        <v>3.65</v>
      </c>
      <c r="D385" s="166">
        <v>44550</v>
      </c>
      <c r="E385" s="166">
        <v>48204</v>
      </c>
      <c r="F385" s="149">
        <v>45504</v>
      </c>
      <c r="G385" s="174">
        <f t="shared" si="158"/>
        <v>2662</v>
      </c>
      <c r="H385" s="208">
        <f t="shared" si="156"/>
        <v>7.3944444444444448</v>
      </c>
      <c r="I385" s="194">
        <f t="shared" si="159"/>
        <v>110391629820.78</v>
      </c>
      <c r="J385" s="196">
        <v>41469432.689999998</v>
      </c>
      <c r="K385" s="186">
        <v>41469432.689999998</v>
      </c>
      <c r="N385" s="32">
        <f>+J385*C385/100</f>
        <v>1513634.2931849998</v>
      </c>
      <c r="O385" s="33">
        <f t="shared" si="157"/>
        <v>3.6499999999999998E-2</v>
      </c>
    </row>
    <row r="386" spans="2:15" ht="34.5" customHeight="1" x14ac:dyDescent="0.25">
      <c r="B386" s="161" t="s">
        <v>151</v>
      </c>
      <c r="C386" s="148">
        <v>3.65</v>
      </c>
      <c r="D386" s="166">
        <v>44550</v>
      </c>
      <c r="E386" s="166">
        <v>48204</v>
      </c>
      <c r="F386" s="149">
        <v>45504</v>
      </c>
      <c r="G386" s="174">
        <f t="shared" si="158"/>
        <v>2662</v>
      </c>
      <c r="H386" s="208">
        <f t="shared" si="156"/>
        <v>7.3944444444444448</v>
      </c>
      <c r="I386" s="194">
        <f t="shared" si="159"/>
        <v>98154210394.240005</v>
      </c>
      <c r="J386" s="196">
        <v>36872355.520000003</v>
      </c>
      <c r="K386" s="186">
        <v>36872355.520000003</v>
      </c>
      <c r="N386" s="32">
        <f>+J386*C386/100</f>
        <v>1345840.97648</v>
      </c>
      <c r="O386" s="33">
        <f t="shared" si="157"/>
        <v>3.6499999999999998E-2</v>
      </c>
    </row>
    <row r="387" spans="2:15" ht="35.25" customHeight="1" x14ac:dyDescent="0.25">
      <c r="B387" s="161" t="s">
        <v>151</v>
      </c>
      <c r="C387" s="148">
        <v>3.65</v>
      </c>
      <c r="D387" s="166">
        <v>44550</v>
      </c>
      <c r="E387" s="166">
        <v>48204</v>
      </c>
      <c r="F387" s="149">
        <v>45504</v>
      </c>
      <c r="G387" s="174">
        <f t="shared" si="158"/>
        <v>2662</v>
      </c>
      <c r="H387" s="208">
        <f t="shared" si="156"/>
        <v>7.3944444444444448</v>
      </c>
      <c r="I387" s="194">
        <f t="shared" si="159"/>
        <v>27041159784.979996</v>
      </c>
      <c r="J387" s="196">
        <v>10158211.789999999</v>
      </c>
      <c r="K387" s="186">
        <v>10158211.789999999</v>
      </c>
      <c r="N387" s="32">
        <f>+J387*C387/100</f>
        <v>370774.73033499991</v>
      </c>
      <c r="O387" s="33">
        <f t="shared" si="157"/>
        <v>3.6499999999999998E-2</v>
      </c>
    </row>
    <row r="388" spans="2:15" ht="28.5" customHeight="1" x14ac:dyDescent="0.25">
      <c r="B388" s="161"/>
      <c r="C388" s="148"/>
      <c r="D388" s="166"/>
      <c r="E388" s="166"/>
      <c r="F388" s="149"/>
      <c r="G388" s="175"/>
      <c r="H388" s="209"/>
      <c r="I388" s="200"/>
      <c r="J388" s="196"/>
      <c r="K388" s="186"/>
      <c r="N388" s="32"/>
      <c r="O388" s="33"/>
    </row>
    <row r="389" spans="2:15" ht="22.5" customHeight="1" x14ac:dyDescent="0.25">
      <c r="B389" s="163" t="s">
        <v>153</v>
      </c>
      <c r="C389" s="156"/>
      <c r="D389" s="166"/>
      <c r="E389" s="166"/>
      <c r="F389" s="149"/>
      <c r="G389" s="175"/>
      <c r="H389" s="209"/>
      <c r="I389" s="200"/>
      <c r="J389" s="218">
        <f>SUM(J391:J395)</f>
        <v>56865451.390000001</v>
      </c>
      <c r="K389" s="184">
        <f>SUM(K391:K395)</f>
        <v>56865451.390000001</v>
      </c>
    </row>
    <row r="390" spans="2:15" ht="34.5" customHeight="1" x14ac:dyDescent="0.25">
      <c r="B390" s="163" t="s">
        <v>319</v>
      </c>
      <c r="C390" s="156"/>
      <c r="D390" s="166"/>
      <c r="E390" s="166"/>
      <c r="F390" s="149"/>
      <c r="G390" s="175"/>
      <c r="H390" s="209"/>
      <c r="I390" s="200"/>
      <c r="J390" s="218"/>
      <c r="K390" s="184"/>
    </row>
    <row r="391" spans="2:15" ht="37.5" customHeight="1" x14ac:dyDescent="0.25">
      <c r="B391" s="161" t="s">
        <v>155</v>
      </c>
      <c r="C391" s="148">
        <v>5.4</v>
      </c>
      <c r="D391" s="166">
        <v>44756</v>
      </c>
      <c r="E391" s="166">
        <v>48409</v>
      </c>
      <c r="F391" s="149">
        <v>45504</v>
      </c>
      <c r="G391" s="174">
        <f t="shared" ref="G391:G395" si="160">DAYS360(F391,E391)</f>
        <v>2864</v>
      </c>
      <c r="H391" s="207">
        <f t="shared" ref="H391:H395" si="161">+G391/360</f>
        <v>7.9555555555555557</v>
      </c>
      <c r="I391" s="194">
        <f t="shared" ref="I391:I395" si="162">+G391*J391</f>
        <v>22808838720</v>
      </c>
      <c r="J391" s="196">
        <v>7963980</v>
      </c>
      <c r="K391" s="186">
        <v>7963980</v>
      </c>
      <c r="N391" s="32">
        <f>+J391*C391/100</f>
        <v>430054.92</v>
      </c>
      <c r="O391" s="58">
        <f t="shared" ref="O391:O395" si="163">+N391/K391</f>
        <v>5.3999999999999999E-2</v>
      </c>
    </row>
    <row r="392" spans="2:15" ht="37.5" customHeight="1" x14ac:dyDescent="0.25">
      <c r="B392" s="368" t="s">
        <v>320</v>
      </c>
      <c r="C392" s="148"/>
      <c r="D392" s="166"/>
      <c r="E392" s="166"/>
      <c r="F392" s="149"/>
      <c r="G392" s="174"/>
      <c r="H392" s="207"/>
      <c r="I392" s="194"/>
      <c r="J392" s="196"/>
      <c r="K392" s="186"/>
      <c r="N392" s="32"/>
      <c r="O392" s="58"/>
    </row>
    <row r="393" spans="2:15" ht="36" customHeight="1" x14ac:dyDescent="0.25">
      <c r="B393" s="161" t="s">
        <v>156</v>
      </c>
      <c r="C393" s="148">
        <v>6</v>
      </c>
      <c r="D393" s="166">
        <v>45048</v>
      </c>
      <c r="E393" s="166">
        <v>45779</v>
      </c>
      <c r="F393" s="149">
        <v>45504</v>
      </c>
      <c r="G393" s="174">
        <f t="shared" si="160"/>
        <v>272</v>
      </c>
      <c r="H393" s="207">
        <f t="shared" si="161"/>
        <v>0.75555555555555554</v>
      </c>
      <c r="I393" s="194">
        <f t="shared" si="162"/>
        <v>5141200218.0799999</v>
      </c>
      <c r="J393" s="196">
        <v>18901471.390000001</v>
      </c>
      <c r="K393" s="186">
        <v>18901471.390000001</v>
      </c>
      <c r="N393" s="32">
        <f>+J393*C393/100</f>
        <v>1134088.2834000001</v>
      </c>
      <c r="O393" s="58">
        <f t="shared" si="163"/>
        <v>6.0000000000000005E-2</v>
      </c>
    </row>
    <row r="394" spans="2:15" ht="36" customHeight="1" x14ac:dyDescent="0.25">
      <c r="B394" s="368" t="s">
        <v>325</v>
      </c>
      <c r="C394" s="148"/>
      <c r="D394" s="166"/>
      <c r="E394" s="166"/>
      <c r="F394" s="149"/>
      <c r="G394" s="174"/>
      <c r="H394" s="207"/>
      <c r="I394" s="194"/>
      <c r="J394" s="196"/>
      <c r="K394" s="186"/>
      <c r="N394" s="32"/>
      <c r="O394" s="58"/>
    </row>
    <row r="395" spans="2:15" ht="30.75" customHeight="1" x14ac:dyDescent="0.25">
      <c r="B395" s="161" t="s">
        <v>269</v>
      </c>
      <c r="C395" s="148">
        <v>5.9</v>
      </c>
      <c r="D395" s="166">
        <v>45436</v>
      </c>
      <c r="E395" s="166">
        <v>47262</v>
      </c>
      <c r="F395" s="149">
        <v>45504</v>
      </c>
      <c r="G395" s="174">
        <f t="shared" si="160"/>
        <v>1734</v>
      </c>
      <c r="H395" s="207">
        <f t="shared" si="161"/>
        <v>4.8166666666666664</v>
      </c>
      <c r="I395" s="194">
        <f t="shared" si="162"/>
        <v>52020000000</v>
      </c>
      <c r="J395" s="196">
        <v>30000000</v>
      </c>
      <c r="K395" s="186">
        <v>30000000</v>
      </c>
      <c r="N395" s="32">
        <f>+J395*C395/100</f>
        <v>1770000</v>
      </c>
      <c r="O395" s="58">
        <f t="shared" si="163"/>
        <v>5.8999999999999997E-2</v>
      </c>
    </row>
    <row r="396" spans="2:15" ht="24.75" customHeight="1" x14ac:dyDescent="0.25">
      <c r="B396" s="161"/>
      <c r="C396" s="148"/>
      <c r="D396" s="166"/>
      <c r="E396" s="166"/>
      <c r="F396" s="149"/>
      <c r="G396" s="175"/>
      <c r="H396" s="209"/>
      <c r="I396" s="200"/>
      <c r="J396" s="196"/>
      <c r="K396" s="186"/>
    </row>
    <row r="397" spans="2:15" ht="20.25" customHeight="1" x14ac:dyDescent="0.25">
      <c r="B397" s="163" t="s">
        <v>157</v>
      </c>
      <c r="C397" s="156"/>
      <c r="D397" s="166"/>
      <c r="E397" s="165"/>
      <c r="F397" s="146"/>
      <c r="G397" s="177"/>
      <c r="H397" s="212"/>
      <c r="I397" s="200"/>
      <c r="J397" s="218">
        <f>SUM(J398)</f>
        <v>128117862.84</v>
      </c>
      <c r="K397" s="184">
        <f>SUM(K398)</f>
        <v>128117862.84</v>
      </c>
    </row>
    <row r="398" spans="2:15" ht="31.5" customHeight="1" x14ac:dyDescent="0.25">
      <c r="B398" s="138" t="s">
        <v>158</v>
      </c>
      <c r="C398" s="139">
        <v>3.5</v>
      </c>
      <c r="D398" s="170">
        <v>44834</v>
      </c>
      <c r="E398" s="170">
        <v>52139</v>
      </c>
      <c r="F398" s="140">
        <v>45504</v>
      </c>
      <c r="G398" s="178">
        <f t="shared" ref="G398" si="164">DAYS360(F398,E398)</f>
        <v>6540</v>
      </c>
      <c r="H398" s="331">
        <f t="shared" ref="H398" si="165">+G398/360</f>
        <v>18.166666666666668</v>
      </c>
      <c r="I398" s="203">
        <f t="shared" ref="I398" si="166">+G398*J398</f>
        <v>837890822973.59998</v>
      </c>
      <c r="J398" s="226">
        <v>128117862.84</v>
      </c>
      <c r="K398" s="227">
        <v>128117862.84</v>
      </c>
      <c r="N398" s="32">
        <f>+J398*C398/100</f>
        <v>4484125.1994000003</v>
      </c>
      <c r="O398" s="58">
        <f t="shared" ref="O398" si="167">+N398/K398</f>
        <v>3.5000000000000003E-2</v>
      </c>
    </row>
    <row r="399" spans="2:15" ht="25.5" customHeight="1" x14ac:dyDescent="0.25">
      <c r="B399" s="62"/>
      <c r="C399" s="63"/>
      <c r="D399" s="64"/>
      <c r="E399" s="64"/>
      <c r="F399" s="64"/>
      <c r="G399" s="64"/>
      <c r="H399" s="69"/>
      <c r="J399" s="42"/>
      <c r="K399" s="228"/>
    </row>
  </sheetData>
  <mergeCells count="5">
    <mergeCell ref="B2:K2"/>
    <mergeCell ref="B3:K3"/>
    <mergeCell ref="B4:K4"/>
    <mergeCell ref="B5:K5"/>
    <mergeCell ref="B6:K6"/>
  </mergeCells>
  <printOptions horizontalCentered="1"/>
  <pageMargins left="0" right="0" top="0.51181102362204722" bottom="0.59055118110236227" header="0" footer="0"/>
  <pageSetup scale="70" fitToWidth="8" fitToHeight="8" orientation="portrait" horizontalDpi="1200" verticalDpi="1200" r:id="rId1"/>
  <headerFooter scaleWithDoc="0" alignWithMargins="0">
    <oddFooter>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CC"/>
  </sheetPr>
  <dimension ref="A2:M97"/>
  <sheetViews>
    <sheetView showGridLines="0" topLeftCell="A19" zoomScaleNormal="100" zoomScaleSheetLayoutView="70" workbookViewId="0">
      <selection activeCell="H92" sqref="H92"/>
    </sheetView>
  </sheetViews>
  <sheetFormatPr baseColWidth="10" defaultColWidth="11.42578125" defaultRowHeight="15.75" x14ac:dyDescent="0.25"/>
  <cols>
    <col min="1" max="1" width="5.85546875" style="66" customWidth="1"/>
    <col min="2" max="2" width="48.85546875" style="245" customWidth="1"/>
    <col min="3" max="3" width="14.28515625" style="245" customWidth="1"/>
    <col min="4" max="4" width="16.140625" style="245" customWidth="1"/>
    <col min="5" max="5" width="19.28515625" style="245" customWidth="1"/>
    <col min="6" max="7" width="16.140625" style="245" hidden="1" customWidth="1"/>
    <col min="8" max="8" width="16.140625" style="245" customWidth="1"/>
    <col min="9" max="9" width="28.42578125" style="245" hidden="1" customWidth="1"/>
    <col min="10" max="10" width="22" style="245" customWidth="1"/>
    <col min="11" max="11" width="22.28515625" style="245" customWidth="1"/>
    <col min="12" max="12" width="22.28515625" style="20" hidden="1" customWidth="1"/>
    <col min="13" max="13" width="21.140625" style="19" hidden="1" customWidth="1"/>
    <col min="14" max="14" width="24.85546875" style="19" customWidth="1"/>
    <col min="15" max="16384" width="11.42578125" style="19"/>
  </cols>
  <sheetData>
    <row r="2" spans="1:12" ht="21.95" customHeight="1" x14ac:dyDescent="0.25">
      <c r="B2" s="380" t="s">
        <v>0</v>
      </c>
      <c r="C2" s="380" t="s">
        <v>0</v>
      </c>
      <c r="D2" s="380"/>
      <c r="E2" s="380"/>
      <c r="F2" s="380"/>
      <c r="G2" s="380"/>
      <c r="H2" s="380"/>
      <c r="I2" s="380"/>
      <c r="J2" s="380"/>
      <c r="K2" s="380"/>
    </row>
    <row r="3" spans="1:12" s="22" customFormat="1" ht="21.95" customHeight="1" x14ac:dyDescent="0.2">
      <c r="A3" s="66"/>
      <c r="B3" s="380" t="s">
        <v>1</v>
      </c>
      <c r="C3" s="380"/>
      <c r="D3" s="380"/>
      <c r="E3" s="380"/>
      <c r="F3" s="380"/>
      <c r="G3" s="380"/>
      <c r="H3" s="380"/>
      <c r="I3" s="380"/>
      <c r="J3" s="380"/>
      <c r="K3" s="380"/>
      <c r="L3" s="21"/>
    </row>
    <row r="4" spans="1:12" s="22" customFormat="1" ht="21.95" customHeight="1" x14ac:dyDescent="0.2">
      <c r="A4" s="66"/>
      <c r="B4" s="381" t="s">
        <v>270</v>
      </c>
      <c r="C4" s="381"/>
      <c r="D4" s="381"/>
      <c r="E4" s="381"/>
      <c r="F4" s="381"/>
      <c r="G4" s="381"/>
      <c r="H4" s="381"/>
      <c r="I4" s="381"/>
      <c r="J4" s="381"/>
      <c r="K4" s="381"/>
      <c r="L4" s="21"/>
    </row>
    <row r="5" spans="1:12" s="22" customFormat="1" ht="21.95" customHeight="1" x14ac:dyDescent="0.2">
      <c r="A5" s="66"/>
      <c r="B5" s="381" t="s">
        <v>327</v>
      </c>
      <c r="C5" s="382"/>
      <c r="D5" s="382"/>
      <c r="E5" s="382"/>
      <c r="F5" s="382"/>
      <c r="G5" s="382"/>
      <c r="H5" s="382"/>
      <c r="I5" s="382"/>
      <c r="J5" s="382"/>
      <c r="K5" s="382"/>
      <c r="L5" s="21"/>
    </row>
    <row r="6" spans="1:12" s="22" customFormat="1" ht="21.95" customHeight="1" x14ac:dyDescent="0.2">
      <c r="A6" s="66"/>
      <c r="B6" s="383" t="s">
        <v>14</v>
      </c>
      <c r="C6" s="383"/>
      <c r="D6" s="383"/>
      <c r="E6" s="383"/>
      <c r="F6" s="383"/>
      <c r="G6" s="383"/>
      <c r="H6" s="383"/>
      <c r="I6" s="383"/>
      <c r="J6" s="383"/>
      <c r="K6" s="383"/>
      <c r="L6" s="21"/>
    </row>
    <row r="7" spans="1:12" s="22" customFormat="1" ht="21.95" customHeight="1" x14ac:dyDescent="0.2">
      <c r="A7" s="66"/>
      <c r="B7" s="380" t="s">
        <v>2</v>
      </c>
      <c r="C7" s="380"/>
      <c r="D7" s="380"/>
      <c r="E7" s="380"/>
      <c r="F7" s="380"/>
      <c r="G7" s="380"/>
      <c r="H7" s="380"/>
      <c r="I7" s="380"/>
      <c r="J7" s="380"/>
      <c r="K7" s="380"/>
      <c r="L7" s="21"/>
    </row>
    <row r="8" spans="1:12" s="44" customFormat="1" ht="60" customHeight="1" x14ac:dyDescent="0.2">
      <c r="A8" s="67"/>
      <c r="B8" s="241" t="s">
        <v>3</v>
      </c>
      <c r="C8" s="242" t="s">
        <v>326</v>
      </c>
      <c r="D8" s="128" t="s">
        <v>312</v>
      </c>
      <c r="E8" s="128" t="s">
        <v>313</v>
      </c>
      <c r="F8" s="129" t="s">
        <v>12</v>
      </c>
      <c r="G8" s="129" t="s">
        <v>13</v>
      </c>
      <c r="H8" s="129" t="s">
        <v>314</v>
      </c>
      <c r="I8" s="129"/>
      <c r="J8" s="242" t="s">
        <v>6</v>
      </c>
      <c r="K8" s="242" t="s">
        <v>4</v>
      </c>
      <c r="L8" s="26"/>
    </row>
    <row r="9" spans="1:12" s="44" customFormat="1" ht="28.5" customHeight="1" x14ac:dyDescent="0.2">
      <c r="A9" s="67"/>
      <c r="B9" s="253" t="s">
        <v>5</v>
      </c>
      <c r="C9" s="273"/>
      <c r="D9" s="273"/>
      <c r="E9" s="273"/>
      <c r="F9" s="265"/>
      <c r="G9" s="293"/>
      <c r="H9" s="273"/>
      <c r="I9" s="305"/>
      <c r="J9" s="215">
        <f>SUM(J14+J55)</f>
        <v>37007237.950000003</v>
      </c>
      <c r="K9" s="215">
        <f>SUM(K14+K55)</f>
        <v>38165200.960000001</v>
      </c>
      <c r="L9" s="26"/>
    </row>
    <row r="10" spans="1:12" s="22" customFormat="1" ht="27.75" hidden="1" customHeight="1" x14ac:dyDescent="0.2">
      <c r="A10" s="66"/>
      <c r="B10" s="254"/>
      <c r="C10" s="274"/>
      <c r="D10" s="287"/>
      <c r="E10" s="287"/>
      <c r="F10" s="266"/>
      <c r="G10" s="294"/>
      <c r="H10" s="287"/>
      <c r="I10" s="306"/>
      <c r="J10" s="318"/>
      <c r="K10" s="318"/>
      <c r="L10" s="21"/>
    </row>
    <row r="11" spans="1:12" s="22" customFormat="1" ht="37.5" hidden="1" customHeight="1" x14ac:dyDescent="0.2">
      <c r="A11" s="66"/>
      <c r="B11" s="255"/>
      <c r="C11" s="275"/>
      <c r="D11" s="288"/>
      <c r="E11" s="288"/>
      <c r="F11" s="267"/>
      <c r="G11" s="295"/>
      <c r="H11" s="288"/>
      <c r="I11" s="307"/>
      <c r="J11" s="319"/>
      <c r="K11" s="319"/>
      <c r="L11" s="21"/>
    </row>
    <row r="12" spans="1:12" s="22" customFormat="1" ht="37.5" hidden="1" customHeight="1" x14ac:dyDescent="0.2">
      <c r="A12" s="66"/>
      <c r="B12" s="256"/>
      <c r="C12" s="276"/>
      <c r="D12" s="289"/>
      <c r="E12" s="289"/>
      <c r="F12" s="268"/>
      <c r="G12" s="296"/>
      <c r="H12" s="289"/>
      <c r="I12" s="308"/>
      <c r="J12" s="320"/>
      <c r="K12" s="320"/>
      <c r="L12" s="21"/>
    </row>
    <row r="13" spans="1:12" s="22" customFormat="1" ht="15" customHeight="1" x14ac:dyDescent="0.2">
      <c r="A13" s="66"/>
      <c r="B13" s="257"/>
      <c r="C13" s="277"/>
      <c r="D13" s="212"/>
      <c r="E13" s="212"/>
      <c r="F13" s="269"/>
      <c r="G13" s="297"/>
      <c r="H13" s="212"/>
      <c r="I13" s="309"/>
      <c r="J13" s="191"/>
      <c r="K13" s="191"/>
      <c r="L13" s="21"/>
    </row>
    <row r="14" spans="1:12" s="22" customFormat="1" ht="21" customHeight="1" x14ac:dyDescent="0.2">
      <c r="A14" s="66"/>
      <c r="B14" s="258" t="s">
        <v>271</v>
      </c>
      <c r="C14" s="278"/>
      <c r="D14" s="212"/>
      <c r="E14" s="212"/>
      <c r="F14" s="269"/>
      <c r="G14" s="297"/>
      <c r="H14" s="212"/>
      <c r="I14" s="309"/>
      <c r="J14" s="218">
        <f>SUM(J20+J28+J38+J41+J47+J49+J52+J15)</f>
        <v>34336384.560000002</v>
      </c>
      <c r="K14" s="218">
        <f>SUM(K20+K28+K38+K41+K47+K49+K52+K15)</f>
        <v>35428881.030000001</v>
      </c>
      <c r="L14" s="68"/>
    </row>
    <row r="15" spans="1:12" s="22" customFormat="1" ht="21" hidden="1" customHeight="1" x14ac:dyDescent="0.2">
      <c r="A15" s="66"/>
      <c r="B15" s="258"/>
      <c r="C15" s="279"/>
      <c r="D15" s="212"/>
      <c r="E15" s="212"/>
      <c r="F15" s="269"/>
      <c r="G15" s="297"/>
      <c r="H15" s="212"/>
      <c r="I15" s="309"/>
      <c r="J15" s="217">
        <f>SUM(J16:J17)</f>
        <v>0</v>
      </c>
      <c r="K15" s="217">
        <f>SUM(K16:K17)</f>
        <v>0</v>
      </c>
      <c r="L15" s="68"/>
    </row>
    <row r="16" spans="1:12" s="22" customFormat="1" ht="21" hidden="1" customHeight="1" x14ac:dyDescent="0.2">
      <c r="A16" s="66"/>
      <c r="B16" s="259"/>
      <c r="C16" s="280"/>
      <c r="D16" s="209"/>
      <c r="E16" s="209"/>
      <c r="F16" s="249"/>
      <c r="G16" s="247"/>
      <c r="H16" s="209"/>
      <c r="I16" s="248"/>
      <c r="J16" s="196"/>
      <c r="K16" s="224"/>
      <c r="L16" s="68"/>
    </row>
    <row r="17" spans="1:13" s="22" customFormat="1" ht="21" hidden="1" customHeight="1" x14ac:dyDescent="0.2">
      <c r="A17" s="66"/>
      <c r="B17" s="259"/>
      <c r="C17" s="280"/>
      <c r="D17" s="209"/>
      <c r="E17" s="209"/>
      <c r="F17" s="249"/>
      <c r="G17" s="247"/>
      <c r="H17" s="209"/>
      <c r="I17" s="248"/>
      <c r="J17" s="196"/>
      <c r="K17" s="224"/>
      <c r="L17" s="68"/>
    </row>
    <row r="18" spans="1:13" s="22" customFormat="1" ht="21" customHeight="1" x14ac:dyDescent="0.2">
      <c r="A18" s="66"/>
      <c r="B18" s="259"/>
      <c r="C18" s="280"/>
      <c r="D18" s="209"/>
      <c r="E18" s="209"/>
      <c r="F18" s="249"/>
      <c r="G18" s="247"/>
      <c r="H18" s="209"/>
      <c r="I18" s="248"/>
      <c r="J18" s="196"/>
      <c r="K18" s="224"/>
      <c r="L18" s="68"/>
    </row>
    <row r="19" spans="1:13" s="22" customFormat="1" ht="27" customHeight="1" x14ac:dyDescent="0.2">
      <c r="A19" s="66"/>
      <c r="B19" s="258" t="s">
        <v>272</v>
      </c>
      <c r="C19" s="280"/>
      <c r="D19" s="209"/>
      <c r="E19" s="209"/>
      <c r="F19" s="249"/>
      <c r="G19" s="252">
        <f>+(G20*J20+G28*J28+G38*J38)/J19</f>
        <v>8501.9257059397187</v>
      </c>
      <c r="H19" s="207">
        <f>+G19/360</f>
        <v>23.616460294276997</v>
      </c>
      <c r="I19" s="180">
        <f>+I20+I28+I38</f>
        <v>74922765260.529999</v>
      </c>
      <c r="J19" s="191">
        <f>+J20+J28+J38</f>
        <v>8812446.4800000004</v>
      </c>
      <c r="K19" s="191">
        <f>+K20+K28+K38</f>
        <v>9648187.2400000002</v>
      </c>
      <c r="L19" s="323">
        <f>+L20+L28+L38</f>
        <v>435447.64579749998</v>
      </c>
      <c r="M19" s="70">
        <f>+L19/K19</f>
        <v>4.5132586564261161E-2</v>
      </c>
    </row>
    <row r="20" spans="1:13" s="44" customFormat="1" ht="21" customHeight="1" x14ac:dyDescent="0.2">
      <c r="A20" s="67"/>
      <c r="B20" s="258" t="s">
        <v>160</v>
      </c>
      <c r="C20" s="279"/>
      <c r="D20" s="212"/>
      <c r="E20" s="212"/>
      <c r="F20" s="269"/>
      <c r="G20" s="251">
        <f>+I20/J20</f>
        <v>539</v>
      </c>
      <c r="H20" s="207">
        <f>+G20/360</f>
        <v>1.4972222222222222</v>
      </c>
      <c r="I20" s="179">
        <f>SUM(I21:I26)</f>
        <v>376790833.65000004</v>
      </c>
      <c r="J20" s="188">
        <f>SUM(J21:J26)</f>
        <v>699055.35000000009</v>
      </c>
      <c r="K20" s="188">
        <f>SUM(K21:K26)</f>
        <v>660371.8899999999</v>
      </c>
      <c r="L20" s="71">
        <f>SUM(L21:L26)</f>
        <v>49807.693687499996</v>
      </c>
    </row>
    <row r="21" spans="1:13" s="44" customFormat="1" ht="21" customHeight="1" x14ac:dyDescent="0.2">
      <c r="A21" s="67"/>
      <c r="B21" s="259" t="s">
        <v>273</v>
      </c>
      <c r="C21" s="280">
        <v>7.125</v>
      </c>
      <c r="D21" s="209">
        <v>39841</v>
      </c>
      <c r="E21" s="209">
        <v>46051</v>
      </c>
      <c r="F21" s="249">
        <v>45504</v>
      </c>
      <c r="G21" s="298">
        <f>DAYS360(F21,E21)</f>
        <v>539</v>
      </c>
      <c r="H21" s="208">
        <f>+G21/360</f>
        <v>1.4972222222222222</v>
      </c>
      <c r="I21" s="310">
        <f>+G21*J21</f>
        <v>97650845.599999994</v>
      </c>
      <c r="J21" s="196">
        <v>181170.4</v>
      </c>
      <c r="K21" s="224">
        <v>174829.44</v>
      </c>
      <c r="L21" s="324">
        <f>+J21*C21/100</f>
        <v>12908.390999999998</v>
      </c>
      <c r="M21" s="72">
        <f>+L21/K21</f>
        <v>7.3834195201906483E-2</v>
      </c>
    </row>
    <row r="22" spans="1:13" s="44" customFormat="1" ht="21" customHeight="1" x14ac:dyDescent="0.2">
      <c r="A22" s="67"/>
      <c r="B22" s="259" t="s">
        <v>274</v>
      </c>
      <c r="C22" s="280">
        <v>7.125</v>
      </c>
      <c r="D22" s="209">
        <v>39841</v>
      </c>
      <c r="E22" s="209">
        <v>46051</v>
      </c>
      <c r="F22" s="249">
        <v>45504</v>
      </c>
      <c r="G22" s="298">
        <f t="shared" ref="G22:G26" si="0">DAYS360(F22,E22)</f>
        <v>539</v>
      </c>
      <c r="H22" s="208">
        <f t="shared" ref="H22:H26" si="1">+G22/360</f>
        <v>1.4972222222222222</v>
      </c>
      <c r="I22" s="310">
        <f t="shared" ref="I22:I26" si="2">+G22*J22</f>
        <v>49654420.969999999</v>
      </c>
      <c r="J22" s="196">
        <v>92123.23</v>
      </c>
      <c r="K22" s="224">
        <v>88898.92</v>
      </c>
      <c r="L22" s="324">
        <f t="shared" ref="L22:L26" si="3">+J22*C22/100</f>
        <v>6563.780137499999</v>
      </c>
      <c r="M22" s="72">
        <f t="shared" ref="M22:M26" si="4">+L22/K22</f>
        <v>7.3834194358041685E-2</v>
      </c>
    </row>
    <row r="23" spans="1:13" s="44" customFormat="1" ht="21" customHeight="1" x14ac:dyDescent="0.2">
      <c r="A23" s="67"/>
      <c r="B23" s="259" t="s">
        <v>172</v>
      </c>
      <c r="C23" s="280">
        <v>7.125</v>
      </c>
      <c r="D23" s="209">
        <v>39736</v>
      </c>
      <c r="E23" s="209">
        <v>46051</v>
      </c>
      <c r="F23" s="249">
        <v>45504</v>
      </c>
      <c r="G23" s="298">
        <f t="shared" si="0"/>
        <v>539</v>
      </c>
      <c r="H23" s="208">
        <f t="shared" si="1"/>
        <v>1.4972222222222222</v>
      </c>
      <c r="I23" s="310">
        <f t="shared" si="2"/>
        <v>70228703.159999996</v>
      </c>
      <c r="J23" s="196">
        <v>130294.44</v>
      </c>
      <c r="K23" s="224">
        <v>123779.72</v>
      </c>
      <c r="L23" s="324">
        <f t="shared" si="3"/>
        <v>9283.4788499999995</v>
      </c>
      <c r="M23" s="72">
        <f t="shared" si="4"/>
        <v>7.4999998788169819E-2</v>
      </c>
    </row>
    <row r="24" spans="1:13" s="44" customFormat="1" ht="21" customHeight="1" x14ac:dyDescent="0.2">
      <c r="A24" s="67"/>
      <c r="B24" s="259" t="s">
        <v>18</v>
      </c>
      <c r="C24" s="280">
        <v>7.125</v>
      </c>
      <c r="D24" s="209">
        <v>39743</v>
      </c>
      <c r="E24" s="209">
        <v>46051</v>
      </c>
      <c r="F24" s="249">
        <v>45504</v>
      </c>
      <c r="G24" s="298">
        <f t="shared" si="0"/>
        <v>539</v>
      </c>
      <c r="H24" s="208">
        <f t="shared" si="1"/>
        <v>1.4972222222222222</v>
      </c>
      <c r="I24" s="310">
        <f t="shared" si="2"/>
        <v>74220127.519999996</v>
      </c>
      <c r="J24" s="196">
        <v>137699.68</v>
      </c>
      <c r="K24" s="224">
        <v>125306.71</v>
      </c>
      <c r="L24" s="324">
        <f t="shared" si="3"/>
        <v>9811.1021999999994</v>
      </c>
      <c r="M24" s="72">
        <f t="shared" si="4"/>
        <v>7.829670254689472E-2</v>
      </c>
    </row>
    <row r="25" spans="1:13" s="44" customFormat="1" ht="21" customHeight="1" x14ac:dyDescent="0.2">
      <c r="A25" s="67"/>
      <c r="B25" s="259" t="s">
        <v>164</v>
      </c>
      <c r="C25" s="280">
        <v>7.125</v>
      </c>
      <c r="D25" s="209">
        <v>39742</v>
      </c>
      <c r="E25" s="209">
        <v>46051</v>
      </c>
      <c r="F25" s="249">
        <v>45504</v>
      </c>
      <c r="G25" s="298">
        <f t="shared" si="0"/>
        <v>539</v>
      </c>
      <c r="H25" s="208">
        <f t="shared" si="1"/>
        <v>1.4972222222222222</v>
      </c>
      <c r="I25" s="310">
        <f t="shared" si="2"/>
        <v>48136623.920000002</v>
      </c>
      <c r="J25" s="196">
        <v>89307.28</v>
      </c>
      <c r="K25" s="224">
        <v>81492.899999999994</v>
      </c>
      <c r="L25" s="324">
        <f t="shared" si="3"/>
        <v>6363.1436999999996</v>
      </c>
      <c r="M25" s="72">
        <f t="shared" si="4"/>
        <v>7.8082185073791707E-2</v>
      </c>
    </row>
    <row r="26" spans="1:13" s="44" customFormat="1" ht="21" customHeight="1" x14ac:dyDescent="0.2">
      <c r="A26" s="67"/>
      <c r="B26" s="259" t="s">
        <v>173</v>
      </c>
      <c r="C26" s="280">
        <v>7.125</v>
      </c>
      <c r="D26" s="209">
        <v>39841</v>
      </c>
      <c r="E26" s="209">
        <v>46051</v>
      </c>
      <c r="F26" s="249">
        <v>45504</v>
      </c>
      <c r="G26" s="298">
        <f t="shared" si="0"/>
        <v>539</v>
      </c>
      <c r="H26" s="208">
        <f t="shared" si="1"/>
        <v>1.4972222222222222</v>
      </c>
      <c r="I26" s="310">
        <f t="shared" si="2"/>
        <v>36900112.480000004</v>
      </c>
      <c r="J26" s="196">
        <v>68460.320000000007</v>
      </c>
      <c r="K26" s="224">
        <v>66064.2</v>
      </c>
      <c r="L26" s="324">
        <f t="shared" si="3"/>
        <v>4877.7978000000003</v>
      </c>
      <c r="M26" s="72">
        <f t="shared" si="4"/>
        <v>7.3834206726184543E-2</v>
      </c>
    </row>
    <row r="27" spans="1:13" s="44" customFormat="1" ht="21" customHeight="1" x14ac:dyDescent="0.2">
      <c r="A27" s="67"/>
      <c r="B27" s="259"/>
      <c r="C27" s="280"/>
      <c r="D27" s="209"/>
      <c r="E27" s="209"/>
      <c r="F27" s="249"/>
      <c r="G27" s="298"/>
      <c r="H27" s="208"/>
      <c r="I27" s="311"/>
      <c r="J27" s="196"/>
      <c r="K27" s="224"/>
      <c r="L27" s="73"/>
      <c r="M27" s="74"/>
    </row>
    <row r="28" spans="1:13" s="44" customFormat="1" ht="21" customHeight="1" x14ac:dyDescent="0.2">
      <c r="A28" s="67"/>
      <c r="B28" s="258" t="s">
        <v>180</v>
      </c>
      <c r="C28" s="281"/>
      <c r="D28" s="212"/>
      <c r="E28" s="212"/>
      <c r="F28" s="269"/>
      <c r="G28" s="252">
        <f>+I28/J28</f>
        <v>4136.5645563863327</v>
      </c>
      <c r="H28" s="207">
        <f>+G28/360</f>
        <v>11.490457101073146</v>
      </c>
      <c r="I28" s="179">
        <f>SUM(I29:I36)</f>
        <v>6272002843.2800007</v>
      </c>
      <c r="J28" s="188">
        <f>SUM(J29:J36)</f>
        <v>1516234.73</v>
      </c>
      <c r="K28" s="188">
        <f>SUM(K29:K36)</f>
        <v>1515465.52</v>
      </c>
      <c r="L28" s="71">
        <f>SUM(L29:L36)</f>
        <v>101962.22691000001</v>
      </c>
    </row>
    <row r="29" spans="1:13" s="22" customFormat="1" ht="21" customHeight="1" x14ac:dyDescent="0.2">
      <c r="A29" s="66"/>
      <c r="B29" s="259" t="s">
        <v>197</v>
      </c>
      <c r="C29" s="282">
        <v>6.7</v>
      </c>
      <c r="D29" s="209">
        <v>39636</v>
      </c>
      <c r="E29" s="209">
        <v>49700</v>
      </c>
      <c r="F29" s="249">
        <v>45504</v>
      </c>
      <c r="G29" s="298">
        <f t="shared" ref="G29:G36" si="5">DAYS360(F29,E29)</f>
        <v>4136</v>
      </c>
      <c r="H29" s="208">
        <f t="shared" ref="H29:H36" si="6">+G29/360</f>
        <v>11.488888888888889</v>
      </c>
      <c r="I29" s="310">
        <f t="shared" ref="I29:I36" si="7">+G29*J29</f>
        <v>2316160000</v>
      </c>
      <c r="J29" s="196">
        <v>560000</v>
      </c>
      <c r="K29" s="224">
        <v>569800</v>
      </c>
      <c r="L29" s="324">
        <f t="shared" ref="L29:L36" si="8">+J29*C29/100</f>
        <v>37520</v>
      </c>
      <c r="M29" s="72">
        <f t="shared" ref="M29:M36" si="9">+L29/K29</f>
        <v>6.5847665847665854E-2</v>
      </c>
    </row>
    <row r="30" spans="1:13" s="22" customFormat="1" ht="21" customHeight="1" x14ac:dyDescent="0.2">
      <c r="A30" s="66"/>
      <c r="B30" s="259" t="s">
        <v>275</v>
      </c>
      <c r="C30" s="282">
        <v>6.7</v>
      </c>
      <c r="D30" s="209">
        <v>40218</v>
      </c>
      <c r="E30" s="209">
        <v>49700</v>
      </c>
      <c r="F30" s="249">
        <v>45504</v>
      </c>
      <c r="G30" s="298">
        <f t="shared" si="5"/>
        <v>4136</v>
      </c>
      <c r="H30" s="208">
        <f t="shared" si="6"/>
        <v>11.488888888888889</v>
      </c>
      <c r="I30" s="310">
        <f t="shared" si="7"/>
        <v>98625153.439999998</v>
      </c>
      <c r="J30" s="196">
        <v>23845.54</v>
      </c>
      <c r="K30" s="224">
        <v>24322.45</v>
      </c>
      <c r="L30" s="324">
        <f t="shared" si="8"/>
        <v>1597.6511800000001</v>
      </c>
      <c r="M30" s="72">
        <f t="shared" si="9"/>
        <v>6.5686276670318983E-2</v>
      </c>
    </row>
    <row r="31" spans="1:13" s="44" customFormat="1" ht="21" customHeight="1" x14ac:dyDescent="0.2">
      <c r="A31" s="67"/>
      <c r="B31" s="259" t="s">
        <v>199</v>
      </c>
      <c r="C31" s="282">
        <v>6.7</v>
      </c>
      <c r="D31" s="209">
        <v>39841</v>
      </c>
      <c r="E31" s="209">
        <v>49700</v>
      </c>
      <c r="F31" s="249">
        <v>45504</v>
      </c>
      <c r="G31" s="298">
        <f t="shared" si="5"/>
        <v>4136</v>
      </c>
      <c r="H31" s="208">
        <f t="shared" si="6"/>
        <v>11.488888888888889</v>
      </c>
      <c r="I31" s="310">
        <f t="shared" si="7"/>
        <v>331083987.52000004</v>
      </c>
      <c r="J31" s="196">
        <v>80049.320000000007</v>
      </c>
      <c r="K31" s="224">
        <v>73245.13</v>
      </c>
      <c r="L31" s="324">
        <f t="shared" si="8"/>
        <v>5363.3044399999999</v>
      </c>
      <c r="M31" s="72">
        <f t="shared" si="9"/>
        <v>7.3224041516480334E-2</v>
      </c>
    </row>
    <row r="32" spans="1:13" s="44" customFormat="1" ht="21" customHeight="1" x14ac:dyDescent="0.2">
      <c r="A32" s="67"/>
      <c r="B32" s="259" t="s">
        <v>276</v>
      </c>
      <c r="C32" s="282">
        <v>6.7</v>
      </c>
      <c r="D32" s="209">
        <v>39911</v>
      </c>
      <c r="E32" s="209">
        <v>49700</v>
      </c>
      <c r="F32" s="249">
        <v>45504</v>
      </c>
      <c r="G32" s="298">
        <f t="shared" si="5"/>
        <v>4136</v>
      </c>
      <c r="H32" s="208">
        <f t="shared" si="6"/>
        <v>11.488888888888889</v>
      </c>
      <c r="I32" s="310">
        <f t="shared" si="7"/>
        <v>660680131.75999999</v>
      </c>
      <c r="J32" s="196">
        <v>159738.91</v>
      </c>
      <c r="K32" s="224">
        <v>142566.98000000001</v>
      </c>
      <c r="L32" s="324">
        <f t="shared" si="8"/>
        <v>10702.506970000002</v>
      </c>
      <c r="M32" s="72">
        <f t="shared" si="9"/>
        <v>7.5070026523673297E-2</v>
      </c>
    </row>
    <row r="33" spans="1:13" s="44" customFormat="1" ht="21" customHeight="1" x14ac:dyDescent="0.2">
      <c r="A33" s="67"/>
      <c r="B33" s="259" t="s">
        <v>277</v>
      </c>
      <c r="C33" s="282">
        <v>6.7</v>
      </c>
      <c r="D33" s="209">
        <v>39976</v>
      </c>
      <c r="E33" s="209">
        <v>49700</v>
      </c>
      <c r="F33" s="249">
        <v>45504</v>
      </c>
      <c r="G33" s="298">
        <f t="shared" si="5"/>
        <v>4136</v>
      </c>
      <c r="H33" s="208">
        <f t="shared" si="6"/>
        <v>11.488888888888889</v>
      </c>
      <c r="I33" s="310">
        <f t="shared" si="7"/>
        <v>420635170.56</v>
      </c>
      <c r="J33" s="196">
        <v>101700.96</v>
      </c>
      <c r="K33" s="224">
        <v>101192.46</v>
      </c>
      <c r="L33" s="324">
        <f t="shared" si="8"/>
        <v>6813.96432</v>
      </c>
      <c r="M33" s="72">
        <f t="shared" si="9"/>
        <v>6.733668022301266E-2</v>
      </c>
    </row>
    <row r="34" spans="1:13" s="44" customFormat="1" ht="21" customHeight="1" x14ac:dyDescent="0.2">
      <c r="A34" s="67"/>
      <c r="B34" s="259" t="s">
        <v>278</v>
      </c>
      <c r="C34" s="282">
        <v>6.7</v>
      </c>
      <c r="D34" s="209">
        <v>40056</v>
      </c>
      <c r="E34" s="209">
        <v>49700</v>
      </c>
      <c r="F34" s="249">
        <v>45504</v>
      </c>
      <c r="G34" s="298">
        <f t="shared" si="5"/>
        <v>4136</v>
      </c>
      <c r="H34" s="208">
        <f t="shared" si="6"/>
        <v>11.488888888888889</v>
      </c>
      <c r="I34" s="310">
        <f t="shared" si="7"/>
        <v>657624000</v>
      </c>
      <c r="J34" s="196">
        <v>159000</v>
      </c>
      <c r="K34" s="224">
        <v>163372.5</v>
      </c>
      <c r="L34" s="324">
        <f t="shared" si="8"/>
        <v>10653</v>
      </c>
      <c r="M34" s="72">
        <f t="shared" si="9"/>
        <v>6.5206812652068125E-2</v>
      </c>
    </row>
    <row r="35" spans="1:13" s="44" customFormat="1" ht="21" customHeight="1" x14ac:dyDescent="0.2">
      <c r="A35" s="67"/>
      <c r="B35" s="259" t="s">
        <v>279</v>
      </c>
      <c r="C35" s="282">
        <v>6.7</v>
      </c>
      <c r="D35" s="209">
        <v>40218</v>
      </c>
      <c r="E35" s="209">
        <v>49700</v>
      </c>
      <c r="F35" s="249">
        <v>45504</v>
      </c>
      <c r="G35" s="298">
        <f t="shared" si="5"/>
        <v>4136</v>
      </c>
      <c r="H35" s="208">
        <f t="shared" si="6"/>
        <v>11.488888888888889</v>
      </c>
      <c r="I35" s="310">
        <f t="shared" si="7"/>
        <v>901234400</v>
      </c>
      <c r="J35" s="196">
        <v>217900</v>
      </c>
      <c r="K35" s="224">
        <v>222258</v>
      </c>
      <c r="L35" s="324">
        <f t="shared" si="8"/>
        <v>14599.3</v>
      </c>
      <c r="M35" s="72">
        <f t="shared" si="9"/>
        <v>6.5686274509803924E-2</v>
      </c>
    </row>
    <row r="36" spans="1:13" s="44" customFormat="1" ht="21" customHeight="1" x14ac:dyDescent="0.2">
      <c r="A36" s="67"/>
      <c r="B36" s="259" t="s">
        <v>328</v>
      </c>
      <c r="C36" s="282">
        <v>6.875</v>
      </c>
      <c r="D36" s="209">
        <v>45257</v>
      </c>
      <c r="E36" s="209">
        <v>49705</v>
      </c>
      <c r="F36" s="249">
        <v>45504</v>
      </c>
      <c r="G36" s="298">
        <f t="shared" si="5"/>
        <v>4140</v>
      </c>
      <c r="H36" s="208">
        <f t="shared" si="6"/>
        <v>11.5</v>
      </c>
      <c r="I36" s="310">
        <f t="shared" si="7"/>
        <v>885960000</v>
      </c>
      <c r="J36" s="196">
        <v>214000</v>
      </c>
      <c r="K36" s="224">
        <v>218708</v>
      </c>
      <c r="L36" s="324">
        <f t="shared" si="8"/>
        <v>14712.5</v>
      </c>
      <c r="M36" s="72">
        <f t="shared" si="9"/>
        <v>6.7270058708414876E-2</v>
      </c>
    </row>
    <row r="37" spans="1:13" s="44" customFormat="1" ht="21" customHeight="1" x14ac:dyDescent="0.2">
      <c r="A37" s="67"/>
      <c r="B37" s="259"/>
      <c r="C37" s="282"/>
      <c r="D37" s="209"/>
      <c r="E37" s="209"/>
      <c r="F37" s="249"/>
      <c r="G37" s="298"/>
      <c r="H37" s="208"/>
      <c r="I37" s="311"/>
      <c r="J37" s="196"/>
      <c r="K37" s="224"/>
      <c r="L37" s="21"/>
    </row>
    <row r="38" spans="1:13" s="44" customFormat="1" ht="21" customHeight="1" x14ac:dyDescent="0.2">
      <c r="A38" s="67"/>
      <c r="B38" s="258" t="s">
        <v>223</v>
      </c>
      <c r="C38" s="281"/>
      <c r="D38" s="212"/>
      <c r="E38" s="212"/>
      <c r="F38" s="269"/>
      <c r="G38" s="252">
        <f>+I38/J38</f>
        <v>10349</v>
      </c>
      <c r="H38" s="207">
        <f>+G38/360</f>
        <v>28.747222222222224</v>
      </c>
      <c r="I38" s="179">
        <f>SUM(I39)</f>
        <v>68273971583.600006</v>
      </c>
      <c r="J38" s="188">
        <f>SUM(J39)</f>
        <v>6597156.4000000004</v>
      </c>
      <c r="K38" s="188">
        <f>SUM(K39)</f>
        <v>7472349.8300000001</v>
      </c>
      <c r="L38" s="71">
        <f>SUM(L39)</f>
        <v>283677.72519999999</v>
      </c>
    </row>
    <row r="39" spans="1:13" s="44" customFormat="1" ht="21" customHeight="1" x14ac:dyDescent="0.2">
      <c r="A39" s="67"/>
      <c r="B39" s="259" t="s">
        <v>64</v>
      </c>
      <c r="C39" s="282">
        <v>4.3</v>
      </c>
      <c r="D39" s="209">
        <v>43795</v>
      </c>
      <c r="E39" s="209">
        <v>56003</v>
      </c>
      <c r="F39" s="249">
        <v>45504</v>
      </c>
      <c r="G39" s="298">
        <f t="shared" ref="G39" si="10">DAYS360(F39,E39)</f>
        <v>10349</v>
      </c>
      <c r="H39" s="208">
        <f t="shared" ref="H39" si="11">+G39/360</f>
        <v>28.747222222222224</v>
      </c>
      <c r="I39" s="310">
        <f t="shared" ref="I39" si="12">+G39*J39</f>
        <v>68273971583.600006</v>
      </c>
      <c r="J39" s="196">
        <v>6597156.4000000004</v>
      </c>
      <c r="K39" s="224">
        <v>7472349.8300000001</v>
      </c>
      <c r="L39" s="324">
        <f t="shared" ref="L39" si="13">+J39*C39/100</f>
        <v>283677.72519999999</v>
      </c>
      <c r="M39" s="72">
        <f t="shared" ref="M39" si="14">+L39/K39</f>
        <v>3.7963656902289325E-2</v>
      </c>
    </row>
    <row r="40" spans="1:13" s="44" customFormat="1" ht="34.5" customHeight="1" x14ac:dyDescent="0.2">
      <c r="A40" s="67"/>
      <c r="B40" s="259"/>
      <c r="C40" s="282"/>
      <c r="D40" s="209"/>
      <c r="E40" s="209"/>
      <c r="F40" s="249"/>
      <c r="G40" s="247"/>
      <c r="H40" s="209"/>
      <c r="I40" s="248"/>
      <c r="J40" s="196"/>
      <c r="K40" s="224"/>
      <c r="L40" s="21"/>
    </row>
    <row r="41" spans="1:13" s="22" customFormat="1" ht="21" customHeight="1" x14ac:dyDescent="0.2">
      <c r="A41" s="66"/>
      <c r="B41" s="258" t="s">
        <v>280</v>
      </c>
      <c r="C41" s="279"/>
      <c r="D41" s="290"/>
      <c r="E41" s="290"/>
      <c r="F41" s="270"/>
      <c r="G41" s="252">
        <f>+I41/J41</f>
        <v>2490</v>
      </c>
      <c r="H41" s="207">
        <f>+G41/360</f>
        <v>6.916666666666667</v>
      </c>
      <c r="I41" s="180">
        <f>SUM(I42)</f>
        <v>30855987322.200001</v>
      </c>
      <c r="J41" s="191">
        <f>SUM(J42)</f>
        <v>12391962.779999999</v>
      </c>
      <c r="K41" s="191">
        <f>SUM(K42)</f>
        <v>12386286.890000001</v>
      </c>
      <c r="L41" s="323">
        <f>SUM(L42)</f>
        <v>416617.78866359999</v>
      </c>
      <c r="M41" s="70">
        <f t="shared" ref="M41:M46" si="15">+L41/K41</f>
        <v>3.3635406023087844E-2</v>
      </c>
    </row>
    <row r="42" spans="1:13" s="22" customFormat="1" ht="21" customHeight="1" x14ac:dyDescent="0.2">
      <c r="A42" s="66"/>
      <c r="B42" s="251" t="s">
        <v>281</v>
      </c>
      <c r="C42" s="283"/>
      <c r="D42" s="212"/>
      <c r="E42" s="212"/>
      <c r="F42" s="269"/>
      <c r="G42" s="297"/>
      <c r="H42" s="212"/>
      <c r="I42" s="312">
        <f>SUM(I43:I44)</f>
        <v>30855987322.200001</v>
      </c>
      <c r="J42" s="321">
        <f>SUM(J43:J44)</f>
        <v>12391962.779999999</v>
      </c>
      <c r="K42" s="321">
        <f>SUM(K43:K44)</f>
        <v>12386286.890000001</v>
      </c>
      <c r="L42" s="325">
        <f>SUM(L43:L44)</f>
        <v>416617.78866359999</v>
      </c>
    </row>
    <row r="43" spans="1:13" s="22" customFormat="1" ht="21" customHeight="1" x14ac:dyDescent="0.2">
      <c r="A43" s="66"/>
      <c r="B43" s="260" t="s">
        <v>255</v>
      </c>
      <c r="C43" s="284">
        <v>3.3620000000000001</v>
      </c>
      <c r="D43" s="209">
        <v>44377</v>
      </c>
      <c r="E43" s="209">
        <v>48029</v>
      </c>
      <c r="F43" s="249">
        <v>45504</v>
      </c>
      <c r="G43" s="298">
        <f t="shared" ref="G43:G44" si="16">DAYS360(F43,E43)</f>
        <v>2490</v>
      </c>
      <c r="H43" s="208">
        <f t="shared" ref="H43:H53" si="17">+G43/360</f>
        <v>6.916666666666667</v>
      </c>
      <c r="I43" s="310">
        <f t="shared" ref="I43:I44" si="18">+G43*J43</f>
        <v>26145000000</v>
      </c>
      <c r="J43" s="220">
        <v>10500000</v>
      </c>
      <c r="K43" s="220">
        <v>10500000</v>
      </c>
      <c r="L43" s="324">
        <f t="shared" ref="L43:L44" si="19">+J43*C43/100</f>
        <v>353010</v>
      </c>
      <c r="M43" s="72">
        <f t="shared" si="15"/>
        <v>3.3619999999999997E-2</v>
      </c>
    </row>
    <row r="44" spans="1:13" s="22" customFormat="1" ht="21" customHeight="1" x14ac:dyDescent="0.2">
      <c r="A44" s="66"/>
      <c r="B44" s="260" t="s">
        <v>282</v>
      </c>
      <c r="C44" s="284">
        <v>3.3620000000000001</v>
      </c>
      <c r="D44" s="209">
        <v>44525</v>
      </c>
      <c r="E44" s="209">
        <v>48029</v>
      </c>
      <c r="F44" s="249">
        <v>45504</v>
      </c>
      <c r="G44" s="298">
        <f t="shared" si="16"/>
        <v>2490</v>
      </c>
      <c r="H44" s="208">
        <f t="shared" si="17"/>
        <v>6.916666666666667</v>
      </c>
      <c r="I44" s="310">
        <f t="shared" si="18"/>
        <v>4710987322.1999998</v>
      </c>
      <c r="J44" s="220">
        <v>1891962.78</v>
      </c>
      <c r="K44" s="220">
        <v>1886286.89</v>
      </c>
      <c r="L44" s="324">
        <f t="shared" si="19"/>
        <v>63607.788663600004</v>
      </c>
      <c r="M44" s="72">
        <f t="shared" si="15"/>
        <v>3.372116352014725E-2</v>
      </c>
    </row>
    <row r="45" spans="1:13" s="22" customFormat="1" ht="21" customHeight="1" x14ac:dyDescent="0.2">
      <c r="A45" s="66"/>
      <c r="B45" s="260"/>
      <c r="C45" s="284"/>
      <c r="D45" s="209"/>
      <c r="E45" s="209"/>
      <c r="F45" s="249"/>
      <c r="G45" s="298"/>
      <c r="H45" s="208"/>
      <c r="I45" s="310"/>
      <c r="J45" s="220"/>
      <c r="K45" s="220"/>
      <c r="L45" s="73"/>
      <c r="M45" s="74"/>
    </row>
    <row r="46" spans="1:13" s="22" customFormat="1" ht="21" customHeight="1" x14ac:dyDescent="0.2">
      <c r="A46" s="66"/>
      <c r="B46" s="258" t="s">
        <v>283</v>
      </c>
      <c r="C46" s="284"/>
      <c r="D46" s="209"/>
      <c r="E46" s="209"/>
      <c r="F46" s="249"/>
      <c r="G46" s="252">
        <f>+I46/J46</f>
        <v>1036.0166976636724</v>
      </c>
      <c r="H46" s="207">
        <f t="shared" si="17"/>
        <v>2.8778241601768677</v>
      </c>
      <c r="I46" s="312">
        <f>+I47+I49</f>
        <v>9701361948.7200012</v>
      </c>
      <c r="J46" s="321">
        <f>+J47+J49</f>
        <v>9364098.0600000005</v>
      </c>
      <c r="K46" s="321">
        <f>+K47+K49</f>
        <v>9626529.6599999983</v>
      </c>
      <c r="L46" s="326">
        <f>+L47+L49</f>
        <v>269029.44234000001</v>
      </c>
      <c r="M46" s="70">
        <f t="shared" si="15"/>
        <v>2.7946669448063597E-2</v>
      </c>
    </row>
    <row r="47" spans="1:13" s="22" customFormat="1" ht="21" customHeight="1" x14ac:dyDescent="0.2">
      <c r="A47" s="66"/>
      <c r="B47" s="258" t="s">
        <v>284</v>
      </c>
      <c r="C47" s="279"/>
      <c r="D47" s="212"/>
      <c r="E47" s="212"/>
      <c r="F47" s="269"/>
      <c r="G47" s="297"/>
      <c r="H47" s="212"/>
      <c r="I47" s="180">
        <f>SUM(I48)</f>
        <v>147575954.19</v>
      </c>
      <c r="J47" s="191">
        <f>SUM(J48)</f>
        <v>239183.07</v>
      </c>
      <c r="K47" s="191">
        <f>SUM(K48)</f>
        <v>238817.12</v>
      </c>
      <c r="L47" s="317">
        <f>SUM(L48)</f>
        <v>8969.3651250000003</v>
      </c>
    </row>
    <row r="48" spans="1:13" s="22" customFormat="1" ht="21" customHeight="1" x14ac:dyDescent="0.2">
      <c r="A48" s="66"/>
      <c r="B48" s="260" t="s">
        <v>144</v>
      </c>
      <c r="C48" s="282">
        <v>3.75</v>
      </c>
      <c r="D48" s="209">
        <v>43572</v>
      </c>
      <c r="E48" s="209">
        <v>46129</v>
      </c>
      <c r="F48" s="249">
        <v>45504</v>
      </c>
      <c r="G48" s="298">
        <f t="shared" ref="G48" si="20">DAYS360(F48,E48)</f>
        <v>617</v>
      </c>
      <c r="H48" s="208">
        <f t="shared" si="17"/>
        <v>1.7138888888888888</v>
      </c>
      <c r="I48" s="310">
        <f t="shared" ref="I48" si="21">+G48*J48</f>
        <v>147575954.19</v>
      </c>
      <c r="J48" s="196">
        <v>239183.07</v>
      </c>
      <c r="K48" s="224">
        <v>238817.12</v>
      </c>
      <c r="L48" s="324">
        <f t="shared" ref="L48" si="22">+J48*C48/100</f>
        <v>8969.3651250000003</v>
      </c>
      <c r="M48" s="72">
        <f t="shared" ref="M48" si="23">+L48/K48</f>
        <v>3.7557462902994561E-2</v>
      </c>
    </row>
    <row r="49" spans="1:13" s="22" customFormat="1" ht="21" customHeight="1" x14ac:dyDescent="0.2">
      <c r="A49" s="66"/>
      <c r="B49" s="258" t="s">
        <v>285</v>
      </c>
      <c r="C49" s="279"/>
      <c r="D49" s="212"/>
      <c r="E49" s="212"/>
      <c r="F49" s="269"/>
      <c r="G49" s="297"/>
      <c r="H49" s="212"/>
      <c r="I49" s="180">
        <f>SUM(I50)</f>
        <v>9553785994.5300007</v>
      </c>
      <c r="J49" s="191">
        <f>SUM(J50)</f>
        <v>9124914.9900000002</v>
      </c>
      <c r="K49" s="191">
        <f>SUM(K50)</f>
        <v>9387712.5399999991</v>
      </c>
      <c r="L49" s="317">
        <f>SUM(L50)</f>
        <v>260060.07721500003</v>
      </c>
    </row>
    <row r="50" spans="1:13" s="22" customFormat="1" ht="21" customHeight="1" x14ac:dyDescent="0.2">
      <c r="A50" s="66"/>
      <c r="B50" s="260" t="s">
        <v>286</v>
      </c>
      <c r="C50" s="282">
        <v>2.85</v>
      </c>
      <c r="D50" s="209">
        <v>44340</v>
      </c>
      <c r="E50" s="209">
        <v>46565</v>
      </c>
      <c r="F50" s="249">
        <v>45504</v>
      </c>
      <c r="G50" s="298">
        <f t="shared" ref="G50" si="24">DAYS360(F50,E50)</f>
        <v>1047</v>
      </c>
      <c r="H50" s="208">
        <f t="shared" si="17"/>
        <v>2.9083333333333332</v>
      </c>
      <c r="I50" s="310">
        <f t="shared" ref="I50" si="25">+G50*J50</f>
        <v>9553785994.5300007</v>
      </c>
      <c r="J50" s="196">
        <v>9124914.9900000002</v>
      </c>
      <c r="K50" s="224">
        <v>9387712.5399999991</v>
      </c>
      <c r="L50" s="324">
        <f t="shared" ref="L50" si="26">+J50*C50/100</f>
        <v>260060.07721500003</v>
      </c>
      <c r="M50" s="72">
        <f t="shared" ref="M50" si="27">+L50/K50</f>
        <v>2.7702177298986622E-2</v>
      </c>
    </row>
    <row r="51" spans="1:13" s="22" customFormat="1" ht="21" customHeight="1" x14ac:dyDescent="0.2">
      <c r="A51" s="66"/>
      <c r="B51" s="260"/>
      <c r="C51" s="282"/>
      <c r="D51" s="209"/>
      <c r="E51" s="209"/>
      <c r="F51" s="249"/>
      <c r="G51" s="298"/>
      <c r="H51" s="208"/>
      <c r="I51" s="310"/>
      <c r="J51" s="196"/>
      <c r="K51" s="224"/>
      <c r="L51" s="73"/>
      <c r="M51" s="74"/>
    </row>
    <row r="52" spans="1:13" s="22" customFormat="1" ht="21" customHeight="1" x14ac:dyDescent="0.2">
      <c r="A52" s="66"/>
      <c r="B52" s="261" t="s">
        <v>10</v>
      </c>
      <c r="C52" s="279"/>
      <c r="D52" s="290"/>
      <c r="E52" s="290"/>
      <c r="F52" s="270"/>
      <c r="G52" s="299"/>
      <c r="H52" s="290"/>
      <c r="I52" s="313"/>
      <c r="J52" s="197">
        <f>SUM(J53)</f>
        <v>3767877.24</v>
      </c>
      <c r="K52" s="218">
        <f>SUM(K53)</f>
        <v>3767877.24</v>
      </c>
      <c r="L52" s="21"/>
    </row>
    <row r="53" spans="1:13" s="22" customFormat="1" ht="39.75" customHeight="1" x14ac:dyDescent="0.2">
      <c r="A53" s="66"/>
      <c r="B53" s="262" t="s">
        <v>287</v>
      </c>
      <c r="C53" s="282">
        <v>3</v>
      </c>
      <c r="D53" s="209">
        <v>43712</v>
      </c>
      <c r="E53" s="209">
        <v>47365</v>
      </c>
      <c r="F53" s="249">
        <v>45504</v>
      </c>
      <c r="G53" s="298">
        <f t="shared" ref="G53" si="28">DAYS360(F53,E53)</f>
        <v>1834</v>
      </c>
      <c r="H53" s="207">
        <f t="shared" si="17"/>
        <v>5.0944444444444441</v>
      </c>
      <c r="I53" s="310">
        <f t="shared" ref="I53" si="29">+G53*J53</f>
        <v>6910286858.1600008</v>
      </c>
      <c r="J53" s="196">
        <v>3767877.24</v>
      </c>
      <c r="K53" s="188">
        <v>3767877.24</v>
      </c>
      <c r="L53" s="324">
        <f t="shared" ref="L53" si="30">+J53*C53/100</f>
        <v>113036.3172</v>
      </c>
      <c r="M53" s="75">
        <f t="shared" ref="M53" si="31">+L53/K53</f>
        <v>0.03</v>
      </c>
    </row>
    <row r="54" spans="1:13" s="22" customFormat="1" ht="14.25" customHeight="1" x14ac:dyDescent="0.2">
      <c r="A54" s="66"/>
      <c r="B54" s="262"/>
      <c r="C54" s="282"/>
      <c r="D54" s="209"/>
      <c r="E54" s="209"/>
      <c r="F54" s="249"/>
      <c r="G54" s="298"/>
      <c r="H54" s="208"/>
      <c r="I54" s="310"/>
      <c r="J54" s="196"/>
      <c r="K54" s="224"/>
      <c r="L54" s="21"/>
    </row>
    <row r="55" spans="1:13" s="22" customFormat="1" ht="27" customHeight="1" x14ac:dyDescent="0.2">
      <c r="A55" s="66"/>
      <c r="B55" s="263" t="s">
        <v>288</v>
      </c>
      <c r="C55" s="285"/>
      <c r="D55" s="291"/>
      <c r="E55" s="291"/>
      <c r="F55" s="271"/>
      <c r="G55" s="300"/>
      <c r="H55" s="291"/>
      <c r="I55" s="314"/>
      <c r="J55" s="215">
        <f>SUM(J61+J69+J78+J82+J87+J89+J92+J56)</f>
        <v>2670853.39</v>
      </c>
      <c r="K55" s="215">
        <f>SUM(K61+K69+K78+K82+K87+K89+K92+K56)</f>
        <v>2736319.93</v>
      </c>
      <c r="L55" s="21"/>
    </row>
    <row r="56" spans="1:13" s="22" customFormat="1" ht="21" hidden="1" customHeight="1" x14ac:dyDescent="0.2">
      <c r="A56" s="66"/>
      <c r="B56" s="258"/>
      <c r="C56" s="279"/>
      <c r="D56" s="212"/>
      <c r="E56" s="212"/>
      <c r="F56" s="269"/>
      <c r="G56" s="297"/>
      <c r="H56" s="212"/>
      <c r="I56" s="309"/>
      <c r="J56" s="217"/>
      <c r="K56" s="217"/>
      <c r="L56" s="21"/>
    </row>
    <row r="57" spans="1:13" s="22" customFormat="1" ht="21" hidden="1" customHeight="1" x14ac:dyDescent="0.2">
      <c r="A57" s="66"/>
      <c r="B57" s="259"/>
      <c r="C57" s="280"/>
      <c r="D57" s="209"/>
      <c r="E57" s="209"/>
      <c r="F57" s="249"/>
      <c r="G57" s="247"/>
      <c r="H57" s="209"/>
      <c r="I57" s="248"/>
      <c r="J57" s="196"/>
      <c r="K57" s="224"/>
      <c r="L57" s="21"/>
    </row>
    <row r="58" spans="1:13" s="22" customFormat="1" ht="21" hidden="1" customHeight="1" x14ac:dyDescent="0.2">
      <c r="A58" s="66"/>
      <c r="B58" s="259"/>
      <c r="C58" s="280"/>
      <c r="D58" s="209"/>
      <c r="E58" s="209"/>
      <c r="F58" s="249"/>
      <c r="G58" s="247"/>
      <c r="H58" s="209"/>
      <c r="I58" s="248"/>
      <c r="J58" s="196"/>
      <c r="K58" s="224"/>
      <c r="L58" s="21"/>
    </row>
    <row r="59" spans="1:13" s="22" customFormat="1" ht="21" customHeight="1" x14ac:dyDescent="0.2">
      <c r="A59" s="66"/>
      <c r="B59" s="259"/>
      <c r="C59" s="280"/>
      <c r="D59" s="209"/>
      <c r="E59" s="209"/>
      <c r="F59" s="249"/>
      <c r="G59" s="247"/>
      <c r="H59" s="209"/>
      <c r="I59" s="248"/>
      <c r="J59" s="196"/>
      <c r="K59" s="224"/>
      <c r="L59" s="21"/>
    </row>
    <row r="60" spans="1:13" s="22" customFormat="1" ht="21" customHeight="1" x14ac:dyDescent="0.2">
      <c r="A60" s="66"/>
      <c r="B60" s="258" t="s">
        <v>289</v>
      </c>
      <c r="C60" s="280"/>
      <c r="D60" s="209"/>
      <c r="E60" s="209"/>
      <c r="F60" s="249"/>
      <c r="G60" s="252">
        <f>+(G61*K61+G69*K69+G78*K78)/K60</f>
        <v>8595.5244173335832</v>
      </c>
      <c r="H60" s="207">
        <f t="shared" ref="H60:H76" si="32">+G60/360</f>
        <v>23.876456714815507</v>
      </c>
      <c r="I60" s="180">
        <f>+I61+I69+I78</f>
        <v>5478561429.21</v>
      </c>
      <c r="J60" s="219">
        <f>+J61+J69+J78</f>
        <v>654802.41</v>
      </c>
      <c r="K60" s="219">
        <f>+K61+K69+K78</f>
        <v>714213.12</v>
      </c>
      <c r="L60" s="327">
        <f>+L61+L69+L78</f>
        <v>32508.744664999998</v>
      </c>
      <c r="M60" s="76">
        <f t="shared" ref="M60:M67" si="33">+L60/K60</f>
        <v>4.551686850137953E-2</v>
      </c>
    </row>
    <row r="61" spans="1:13" ht="21" customHeight="1" x14ac:dyDescent="0.2">
      <c r="B61" s="258" t="s">
        <v>290</v>
      </c>
      <c r="C61" s="279"/>
      <c r="D61" s="212"/>
      <c r="E61" s="212"/>
      <c r="F61" s="269"/>
      <c r="G61" s="252">
        <f>+I61/J61</f>
        <v>538.99999999999989</v>
      </c>
      <c r="H61" s="207">
        <f t="shared" si="32"/>
        <v>1.497222222222222</v>
      </c>
      <c r="I61" s="179">
        <f>SUM(I62:I67)</f>
        <v>36980391.140000001</v>
      </c>
      <c r="J61" s="188">
        <f>SUM(J62:J67)</f>
        <v>68609.260000000009</v>
      </c>
      <c r="K61" s="188">
        <f>SUM(K62:K67)</f>
        <v>64578.44</v>
      </c>
      <c r="L61" s="328">
        <f>SUM(L62:L67)</f>
        <v>4888.4097750000001</v>
      </c>
    </row>
    <row r="62" spans="1:13" ht="21" customHeight="1" x14ac:dyDescent="0.2">
      <c r="B62" s="259" t="s">
        <v>291</v>
      </c>
      <c r="C62" s="280">
        <v>7.125</v>
      </c>
      <c r="D62" s="209">
        <v>39675</v>
      </c>
      <c r="E62" s="209">
        <v>46051</v>
      </c>
      <c r="F62" s="249">
        <v>45504</v>
      </c>
      <c r="G62" s="298">
        <f t="shared" ref="G62:G67" si="34">DAYS360(F62,E62)</f>
        <v>539</v>
      </c>
      <c r="H62" s="208">
        <f t="shared" si="32"/>
        <v>1.4972222222222222</v>
      </c>
      <c r="I62" s="310">
        <f t="shared" ref="I62:I67" si="35">+G62*J62</f>
        <v>9630523.209999999</v>
      </c>
      <c r="J62" s="196">
        <v>17867.39</v>
      </c>
      <c r="K62" s="224">
        <v>16974.02</v>
      </c>
      <c r="L62" s="324">
        <f t="shared" ref="L62:L67" si="36">+J62*C62/100</f>
        <v>1273.0515375</v>
      </c>
      <c r="M62" s="72">
        <f t="shared" si="33"/>
        <v>7.500000220925862E-2</v>
      </c>
    </row>
    <row r="63" spans="1:13" ht="21" customHeight="1" x14ac:dyDescent="0.2">
      <c r="B63" s="259" t="s">
        <v>161</v>
      </c>
      <c r="C63" s="280">
        <v>7.125</v>
      </c>
      <c r="D63" s="209">
        <v>39743</v>
      </c>
      <c r="E63" s="209">
        <v>46051</v>
      </c>
      <c r="F63" s="249">
        <v>45504</v>
      </c>
      <c r="G63" s="298">
        <f t="shared" si="34"/>
        <v>539</v>
      </c>
      <c r="H63" s="208">
        <f t="shared" si="32"/>
        <v>1.4972222222222222</v>
      </c>
      <c r="I63" s="310">
        <f t="shared" si="35"/>
        <v>8029197.3300000001</v>
      </c>
      <c r="J63" s="196">
        <v>14896.47</v>
      </c>
      <c r="K63" s="224">
        <v>13555.79</v>
      </c>
      <c r="L63" s="324">
        <f t="shared" si="36"/>
        <v>1061.3734875</v>
      </c>
      <c r="M63" s="72">
        <f t="shared" si="33"/>
        <v>7.8296690012164535E-2</v>
      </c>
    </row>
    <row r="64" spans="1:13" ht="21" customHeight="1" x14ac:dyDescent="0.2">
      <c r="B64" s="259" t="s">
        <v>19</v>
      </c>
      <c r="C64" s="280">
        <v>7.125</v>
      </c>
      <c r="D64" s="209">
        <v>39742</v>
      </c>
      <c r="E64" s="209">
        <v>46051</v>
      </c>
      <c r="F64" s="249">
        <v>45504</v>
      </c>
      <c r="G64" s="298">
        <f t="shared" si="34"/>
        <v>539</v>
      </c>
      <c r="H64" s="208">
        <f t="shared" si="32"/>
        <v>1.4972222222222222</v>
      </c>
      <c r="I64" s="310">
        <f t="shared" si="35"/>
        <v>5566382.3600000003</v>
      </c>
      <c r="J64" s="196">
        <v>10327.24</v>
      </c>
      <c r="K64" s="224">
        <v>9423.61</v>
      </c>
      <c r="L64" s="324">
        <f t="shared" si="36"/>
        <v>735.81584999999995</v>
      </c>
      <c r="M64" s="72">
        <f t="shared" si="33"/>
        <v>7.8082162780505546E-2</v>
      </c>
    </row>
    <row r="65" spans="1:13" ht="21" customHeight="1" x14ac:dyDescent="0.2">
      <c r="B65" s="259" t="s">
        <v>292</v>
      </c>
      <c r="C65" s="280">
        <v>7.125</v>
      </c>
      <c r="D65" s="209">
        <v>39841</v>
      </c>
      <c r="E65" s="209">
        <v>46051</v>
      </c>
      <c r="F65" s="249">
        <v>45504</v>
      </c>
      <c r="G65" s="298">
        <f t="shared" si="34"/>
        <v>539</v>
      </c>
      <c r="H65" s="208">
        <f t="shared" si="32"/>
        <v>1.4972222222222222</v>
      </c>
      <c r="I65" s="310">
        <f t="shared" si="35"/>
        <v>2084356.1199999999</v>
      </c>
      <c r="J65" s="196">
        <v>3867.08</v>
      </c>
      <c r="K65" s="224">
        <v>3731.73</v>
      </c>
      <c r="L65" s="324">
        <f t="shared" si="36"/>
        <v>275.52945</v>
      </c>
      <c r="M65" s="72">
        <f t="shared" si="33"/>
        <v>7.3834240419322947E-2</v>
      </c>
    </row>
    <row r="66" spans="1:13" ht="21" customHeight="1" x14ac:dyDescent="0.2">
      <c r="B66" s="259" t="s">
        <v>22</v>
      </c>
      <c r="C66" s="280">
        <v>7.125</v>
      </c>
      <c r="D66" s="209">
        <v>39841</v>
      </c>
      <c r="E66" s="209">
        <v>46051</v>
      </c>
      <c r="F66" s="249">
        <v>45504</v>
      </c>
      <c r="G66" s="298">
        <f t="shared" si="34"/>
        <v>539</v>
      </c>
      <c r="H66" s="208">
        <f t="shared" si="32"/>
        <v>1.4972222222222222</v>
      </c>
      <c r="I66" s="310">
        <f t="shared" si="35"/>
        <v>6565936.3000000007</v>
      </c>
      <c r="J66" s="196">
        <v>12181.7</v>
      </c>
      <c r="K66" s="224">
        <v>11755.34</v>
      </c>
      <c r="L66" s="324">
        <f t="shared" si="36"/>
        <v>867.94612500000005</v>
      </c>
      <c r="M66" s="72">
        <f t="shared" si="33"/>
        <v>7.3834200031645203E-2</v>
      </c>
    </row>
    <row r="67" spans="1:13" ht="21" customHeight="1" x14ac:dyDescent="0.2">
      <c r="B67" s="259" t="s">
        <v>23</v>
      </c>
      <c r="C67" s="280">
        <v>7.125</v>
      </c>
      <c r="D67" s="209">
        <v>39841</v>
      </c>
      <c r="E67" s="209">
        <v>46051</v>
      </c>
      <c r="F67" s="249">
        <v>45504</v>
      </c>
      <c r="G67" s="298">
        <f t="shared" si="34"/>
        <v>539</v>
      </c>
      <c r="H67" s="208">
        <f t="shared" si="32"/>
        <v>1.4972222222222222</v>
      </c>
      <c r="I67" s="310">
        <f t="shared" si="35"/>
        <v>5103995.8199999994</v>
      </c>
      <c r="J67" s="196">
        <v>9469.3799999999992</v>
      </c>
      <c r="K67" s="224">
        <v>9137.9500000000007</v>
      </c>
      <c r="L67" s="324">
        <f t="shared" si="36"/>
        <v>674.69332499999985</v>
      </c>
      <c r="M67" s="72">
        <f t="shared" si="33"/>
        <v>7.383421062711E-2</v>
      </c>
    </row>
    <row r="68" spans="1:13" ht="21" customHeight="1" x14ac:dyDescent="0.2">
      <c r="B68" s="259"/>
      <c r="C68" s="280"/>
      <c r="D68" s="209"/>
      <c r="E68" s="209"/>
      <c r="F68" s="249"/>
      <c r="G68" s="247"/>
      <c r="H68" s="209"/>
      <c r="I68" s="248"/>
      <c r="J68" s="196"/>
      <c r="K68" s="224"/>
      <c r="L68" s="73"/>
    </row>
    <row r="69" spans="1:13" ht="21" customHeight="1" x14ac:dyDescent="0.2">
      <c r="B69" s="258" t="s">
        <v>293</v>
      </c>
      <c r="C69" s="281"/>
      <c r="D69" s="212"/>
      <c r="E69" s="212"/>
      <c r="F69" s="269"/>
      <c r="G69" s="252">
        <f>+I69/J69</f>
        <v>4136</v>
      </c>
      <c r="H69" s="207">
        <f t="shared" si="32"/>
        <v>11.488888888888889</v>
      </c>
      <c r="I69" s="179">
        <f>SUM(I70:I76)</f>
        <v>416017740.16000003</v>
      </c>
      <c r="J69" s="188">
        <f>SUM(J70:J76)</f>
        <v>100584.56</v>
      </c>
      <c r="K69" s="188">
        <f>SUM(K70:K76)</f>
        <v>99604.180000000008</v>
      </c>
      <c r="L69" s="328">
        <f>SUM(L70:L76)</f>
        <v>6739.1655200000005</v>
      </c>
    </row>
    <row r="70" spans="1:13" s="22" customFormat="1" ht="21" customHeight="1" x14ac:dyDescent="0.2">
      <c r="A70" s="66"/>
      <c r="B70" s="259" t="s">
        <v>294</v>
      </c>
      <c r="C70" s="282">
        <v>6.7</v>
      </c>
      <c r="D70" s="209">
        <v>39707</v>
      </c>
      <c r="E70" s="209">
        <v>49700</v>
      </c>
      <c r="F70" s="249">
        <v>45504</v>
      </c>
      <c r="G70" s="298">
        <f t="shared" ref="G70:G76" si="37">DAYS360(F70,E70)</f>
        <v>4136</v>
      </c>
      <c r="H70" s="208">
        <f t="shared" si="32"/>
        <v>11.488888888888889</v>
      </c>
      <c r="I70" s="310">
        <f t="shared" ref="I70:I76" si="38">+G70*J70</f>
        <v>76151701.11999999</v>
      </c>
      <c r="J70" s="196">
        <v>18411.919999999998</v>
      </c>
      <c r="K70" s="224">
        <v>18780.16</v>
      </c>
      <c r="L70" s="324">
        <f t="shared" ref="L70:L76" si="39">+J70*C70/100</f>
        <v>1233.5986399999999</v>
      </c>
      <c r="M70" s="72">
        <f t="shared" ref="M70:M76" si="40">+L70/K70</f>
        <v>6.5686268913576873E-2</v>
      </c>
    </row>
    <row r="71" spans="1:13" ht="21" customHeight="1" x14ac:dyDescent="0.2">
      <c r="B71" s="259" t="s">
        <v>295</v>
      </c>
      <c r="C71" s="282">
        <v>6.7</v>
      </c>
      <c r="D71" s="209">
        <v>39841</v>
      </c>
      <c r="E71" s="209">
        <v>49700</v>
      </c>
      <c r="F71" s="249">
        <v>45504</v>
      </c>
      <c r="G71" s="298">
        <f t="shared" si="37"/>
        <v>4136</v>
      </c>
      <c r="H71" s="208">
        <f t="shared" si="32"/>
        <v>11.488888888888889</v>
      </c>
      <c r="I71" s="310">
        <f t="shared" si="38"/>
        <v>91559914.160000011</v>
      </c>
      <c r="J71" s="196">
        <v>22137.31</v>
      </c>
      <c r="K71" s="224">
        <v>20255.63</v>
      </c>
      <c r="L71" s="324">
        <f t="shared" si="39"/>
        <v>1483.1997700000002</v>
      </c>
      <c r="M71" s="72">
        <f t="shared" si="40"/>
        <v>7.3224074985571916E-2</v>
      </c>
    </row>
    <row r="72" spans="1:13" ht="21" customHeight="1" x14ac:dyDescent="0.2">
      <c r="B72" s="259" t="s">
        <v>296</v>
      </c>
      <c r="C72" s="282">
        <v>6.7</v>
      </c>
      <c r="D72" s="209">
        <v>39911</v>
      </c>
      <c r="E72" s="209">
        <v>49700</v>
      </c>
      <c r="F72" s="249">
        <v>45504</v>
      </c>
      <c r="G72" s="298">
        <f t="shared" si="37"/>
        <v>4136</v>
      </c>
      <c r="H72" s="208">
        <f t="shared" si="32"/>
        <v>11.488888888888889</v>
      </c>
      <c r="I72" s="310">
        <f t="shared" si="38"/>
        <v>19693770.800000001</v>
      </c>
      <c r="J72" s="196">
        <v>4761.55</v>
      </c>
      <c r="K72" s="224">
        <v>4249.68</v>
      </c>
      <c r="L72" s="324">
        <f t="shared" si="39"/>
        <v>319.02385000000004</v>
      </c>
      <c r="M72" s="72">
        <f t="shared" si="40"/>
        <v>7.5070087630127444E-2</v>
      </c>
    </row>
    <row r="73" spans="1:13" ht="21" customHeight="1" x14ac:dyDescent="0.2">
      <c r="B73" s="259" t="s">
        <v>188</v>
      </c>
      <c r="C73" s="282">
        <v>6.7</v>
      </c>
      <c r="D73" s="209">
        <v>39976</v>
      </c>
      <c r="E73" s="209">
        <v>49700</v>
      </c>
      <c r="F73" s="249">
        <v>45504</v>
      </c>
      <c r="G73" s="298">
        <f t="shared" si="37"/>
        <v>4136</v>
      </c>
      <c r="H73" s="208">
        <f t="shared" si="32"/>
        <v>11.488888888888889</v>
      </c>
      <c r="I73" s="310">
        <f t="shared" si="38"/>
        <v>32979554.079999998</v>
      </c>
      <c r="J73" s="196">
        <v>7973.78</v>
      </c>
      <c r="K73" s="224">
        <v>7933.91</v>
      </c>
      <c r="L73" s="324">
        <f t="shared" si="39"/>
        <v>534.24325999999996</v>
      </c>
      <c r="M73" s="72">
        <f t="shared" si="40"/>
        <v>6.7336692753005772E-2</v>
      </c>
    </row>
    <row r="74" spans="1:13" ht="21" customHeight="1" x14ac:dyDescent="0.2">
      <c r="B74" s="259" t="s">
        <v>206</v>
      </c>
      <c r="C74" s="282">
        <v>6.7</v>
      </c>
      <c r="D74" s="209">
        <v>40056</v>
      </c>
      <c r="E74" s="209">
        <v>49700</v>
      </c>
      <c r="F74" s="249">
        <v>45504</v>
      </c>
      <c r="G74" s="298">
        <f t="shared" si="37"/>
        <v>4136</v>
      </c>
      <c r="H74" s="208">
        <f t="shared" si="32"/>
        <v>11.488888888888889</v>
      </c>
      <c r="I74" s="310">
        <f t="shared" si="38"/>
        <v>57904000</v>
      </c>
      <c r="J74" s="196">
        <v>14000</v>
      </c>
      <c r="K74" s="224">
        <v>14385</v>
      </c>
      <c r="L74" s="324">
        <f t="shared" si="39"/>
        <v>938</v>
      </c>
      <c r="M74" s="72">
        <f t="shared" si="40"/>
        <v>6.5206812652068125E-2</v>
      </c>
    </row>
    <row r="75" spans="1:13" ht="21" customHeight="1" x14ac:dyDescent="0.2">
      <c r="B75" s="259" t="s">
        <v>297</v>
      </c>
      <c r="C75" s="282">
        <v>6.7</v>
      </c>
      <c r="D75" s="209">
        <v>40218</v>
      </c>
      <c r="E75" s="209">
        <v>49700</v>
      </c>
      <c r="F75" s="249">
        <v>45504</v>
      </c>
      <c r="G75" s="298">
        <f t="shared" si="37"/>
        <v>4136</v>
      </c>
      <c r="H75" s="208">
        <f t="shared" si="32"/>
        <v>11.488888888888889</v>
      </c>
      <c r="I75" s="310">
        <f t="shared" si="38"/>
        <v>67830400</v>
      </c>
      <c r="J75" s="196">
        <v>16400</v>
      </c>
      <c r="K75" s="224">
        <v>16728</v>
      </c>
      <c r="L75" s="324">
        <f t="shared" si="39"/>
        <v>1098.8</v>
      </c>
      <c r="M75" s="72">
        <f t="shared" si="40"/>
        <v>6.5686274509803924E-2</v>
      </c>
    </row>
    <row r="76" spans="1:13" ht="21" customHeight="1" x14ac:dyDescent="0.2">
      <c r="B76" s="259" t="s">
        <v>298</v>
      </c>
      <c r="C76" s="282">
        <v>6.7</v>
      </c>
      <c r="D76" s="209">
        <v>40218</v>
      </c>
      <c r="E76" s="209">
        <v>49700</v>
      </c>
      <c r="F76" s="249">
        <v>45504</v>
      </c>
      <c r="G76" s="298">
        <f t="shared" si="37"/>
        <v>4136</v>
      </c>
      <c r="H76" s="208">
        <f t="shared" si="32"/>
        <v>11.488888888888889</v>
      </c>
      <c r="I76" s="310">
        <f t="shared" si="38"/>
        <v>69898400</v>
      </c>
      <c r="J76" s="196">
        <v>16900</v>
      </c>
      <c r="K76" s="224">
        <v>17271.8</v>
      </c>
      <c r="L76" s="324">
        <f t="shared" si="39"/>
        <v>1132.3</v>
      </c>
      <c r="M76" s="72">
        <f t="shared" si="40"/>
        <v>6.5557729941291581E-2</v>
      </c>
    </row>
    <row r="77" spans="1:13" ht="21" customHeight="1" x14ac:dyDescent="0.2">
      <c r="B77" s="259"/>
      <c r="C77" s="282"/>
      <c r="D77" s="209"/>
      <c r="E77" s="209"/>
      <c r="F77" s="249"/>
      <c r="G77" s="247"/>
      <c r="H77" s="209"/>
      <c r="I77" s="248"/>
      <c r="J77" s="196"/>
      <c r="K77" s="224"/>
      <c r="L77" s="73"/>
    </row>
    <row r="78" spans="1:13" ht="21" customHeight="1" x14ac:dyDescent="0.2">
      <c r="B78" s="258" t="s">
        <v>223</v>
      </c>
      <c r="C78" s="281"/>
      <c r="D78" s="212"/>
      <c r="E78" s="212"/>
      <c r="F78" s="269"/>
      <c r="G78" s="252">
        <f>+I78/J78</f>
        <v>10349</v>
      </c>
      <c r="H78" s="207">
        <f t="shared" ref="H78:H79" si="41">+G78/360</f>
        <v>28.747222222222224</v>
      </c>
      <c r="I78" s="179">
        <f>SUM(I79)</f>
        <v>5025563297.9099998</v>
      </c>
      <c r="J78" s="188">
        <f>SUM(J79)</f>
        <v>485608.59</v>
      </c>
      <c r="K78" s="188">
        <f>SUM(K79)</f>
        <v>550030.5</v>
      </c>
      <c r="L78" s="328">
        <f>SUM(L79)</f>
        <v>20881.16937</v>
      </c>
      <c r="M78" s="76">
        <f t="shared" ref="M78:M79" si="42">+L78/K78</f>
        <v>3.7963657233553411E-2</v>
      </c>
    </row>
    <row r="79" spans="1:13" ht="21" customHeight="1" x14ac:dyDescent="0.2">
      <c r="B79" s="259" t="s">
        <v>64</v>
      </c>
      <c r="C79" s="282">
        <v>4.3</v>
      </c>
      <c r="D79" s="209">
        <v>43795</v>
      </c>
      <c r="E79" s="209">
        <v>56003</v>
      </c>
      <c r="F79" s="249">
        <v>45504</v>
      </c>
      <c r="G79" s="298">
        <f t="shared" ref="G79" si="43">DAYS360(F79,E79)</f>
        <v>10349</v>
      </c>
      <c r="H79" s="208">
        <f t="shared" si="41"/>
        <v>28.747222222222224</v>
      </c>
      <c r="I79" s="310">
        <f t="shared" ref="I79" si="44">+G79*J79</f>
        <v>5025563297.9099998</v>
      </c>
      <c r="J79" s="196">
        <v>485608.59</v>
      </c>
      <c r="K79" s="224">
        <v>550030.5</v>
      </c>
      <c r="L79" s="324">
        <f t="shared" ref="L79" si="45">+J79*C79/100</f>
        <v>20881.16937</v>
      </c>
      <c r="M79" s="72">
        <f t="shared" si="42"/>
        <v>3.7963657233553411E-2</v>
      </c>
    </row>
    <row r="80" spans="1:13" ht="21" customHeight="1" x14ac:dyDescent="0.2">
      <c r="B80" s="259"/>
      <c r="C80" s="282"/>
      <c r="D80" s="209"/>
      <c r="E80" s="209"/>
      <c r="F80" s="249"/>
      <c r="G80" s="247"/>
      <c r="H80" s="209"/>
      <c r="I80" s="248"/>
      <c r="J80" s="196"/>
      <c r="K80" s="224"/>
      <c r="L80" s="39"/>
    </row>
    <row r="81" spans="1:13" ht="21" customHeight="1" x14ac:dyDescent="0.2">
      <c r="B81" s="259"/>
      <c r="C81" s="282"/>
      <c r="D81" s="209"/>
      <c r="E81" s="209"/>
      <c r="F81" s="249"/>
      <c r="G81" s="247"/>
      <c r="H81" s="209"/>
      <c r="I81" s="248"/>
      <c r="J81" s="196"/>
      <c r="K81" s="224"/>
      <c r="L81" s="39"/>
    </row>
    <row r="82" spans="1:13" ht="21" customHeight="1" x14ac:dyDescent="0.2">
      <c r="B82" s="258" t="s">
        <v>299</v>
      </c>
      <c r="C82" s="279"/>
      <c r="D82" s="212"/>
      <c r="E82" s="212"/>
      <c r="F82" s="269"/>
      <c r="G82" s="252">
        <f>+I82/J82</f>
        <v>2490</v>
      </c>
      <c r="H82" s="207">
        <f t="shared" ref="H82:H84" si="46">+G82/360</f>
        <v>6.916666666666667</v>
      </c>
      <c r="I82" s="180">
        <f>SUM(I83:I84)</f>
        <v>4004012677.8000002</v>
      </c>
      <c r="J82" s="219">
        <f>SUM(J83:J84)</f>
        <v>1608037.22</v>
      </c>
      <c r="K82" s="219">
        <f>SUM(K83:K84)</f>
        <v>1607713.11</v>
      </c>
      <c r="L82" s="323">
        <f>SUM(L83:L84)</f>
        <v>54062.211336400003</v>
      </c>
      <c r="M82" s="76">
        <f t="shared" ref="M82:M84" si="47">+L82/K82</f>
        <v>3.362677768821578E-2</v>
      </c>
    </row>
    <row r="83" spans="1:13" s="22" customFormat="1" ht="21" customHeight="1" x14ac:dyDescent="0.2">
      <c r="A83" s="66"/>
      <c r="B83" s="260" t="s">
        <v>138</v>
      </c>
      <c r="C83" s="284">
        <v>3.3620000000000001</v>
      </c>
      <c r="D83" s="209">
        <v>44377</v>
      </c>
      <c r="E83" s="209">
        <v>48029</v>
      </c>
      <c r="F83" s="249">
        <v>45504</v>
      </c>
      <c r="G83" s="298">
        <f t="shared" ref="G83:G84" si="48">DAYS360(F83,E83)</f>
        <v>2490</v>
      </c>
      <c r="H83" s="208">
        <f t="shared" si="46"/>
        <v>6.916666666666667</v>
      </c>
      <c r="I83" s="310">
        <f t="shared" ref="I83:I84" si="49">+G83*J83</f>
        <v>3735000000</v>
      </c>
      <c r="J83" s="220">
        <v>1500000</v>
      </c>
      <c r="K83" s="220">
        <v>1500000</v>
      </c>
      <c r="L83" s="324">
        <f t="shared" ref="L83:L84" si="50">+J83*C83/100</f>
        <v>50430</v>
      </c>
      <c r="M83" s="72">
        <f t="shared" si="47"/>
        <v>3.3619999999999997E-2</v>
      </c>
    </row>
    <row r="84" spans="1:13" s="22" customFormat="1" ht="21" customHeight="1" x14ac:dyDescent="0.2">
      <c r="A84" s="66"/>
      <c r="B84" s="260" t="s">
        <v>282</v>
      </c>
      <c r="C84" s="284">
        <v>3.3620000000000001</v>
      </c>
      <c r="D84" s="209">
        <v>44526</v>
      </c>
      <c r="E84" s="209">
        <v>48029</v>
      </c>
      <c r="F84" s="249">
        <v>45504</v>
      </c>
      <c r="G84" s="298">
        <f t="shared" si="48"/>
        <v>2490</v>
      </c>
      <c r="H84" s="208">
        <f t="shared" si="46"/>
        <v>6.916666666666667</v>
      </c>
      <c r="I84" s="310">
        <f t="shared" si="49"/>
        <v>269012677.80000001</v>
      </c>
      <c r="J84" s="220">
        <v>108037.22</v>
      </c>
      <c r="K84" s="220">
        <v>107713.11</v>
      </c>
      <c r="L84" s="324">
        <f t="shared" si="50"/>
        <v>3632.2113364000002</v>
      </c>
      <c r="M84" s="72">
        <f t="shared" si="47"/>
        <v>3.3721162970784153E-2</v>
      </c>
    </row>
    <row r="85" spans="1:13" s="22" customFormat="1" ht="21" customHeight="1" x14ac:dyDescent="0.2">
      <c r="A85" s="66"/>
      <c r="B85" s="260"/>
      <c r="C85" s="284"/>
      <c r="D85" s="209"/>
      <c r="E85" s="209"/>
      <c r="F85" s="249"/>
      <c r="G85" s="247"/>
      <c r="H85" s="209"/>
      <c r="I85" s="248"/>
      <c r="J85" s="220"/>
      <c r="K85" s="220"/>
      <c r="L85" s="21"/>
    </row>
    <row r="86" spans="1:13" s="22" customFormat="1" ht="21" customHeight="1" x14ac:dyDescent="0.2">
      <c r="A86" s="66"/>
      <c r="B86" s="332" t="s">
        <v>283</v>
      </c>
      <c r="C86" s="284"/>
      <c r="D86" s="209"/>
      <c r="E86" s="209"/>
      <c r="F86" s="249"/>
      <c r="G86" s="301">
        <f>+(G87*J87+G89*J89)/J86</f>
        <v>1027.5384963371123</v>
      </c>
      <c r="H86" s="207">
        <f t="shared" ref="H86" si="51">+G86/360</f>
        <v>2.8542736009364229</v>
      </c>
      <c r="I86" s="312">
        <f>+I87+I89</f>
        <v>239018719.77000001</v>
      </c>
      <c r="J86" s="222">
        <f>+J87+J89</f>
        <v>232612.91</v>
      </c>
      <c r="K86" s="222">
        <f>+K87+K89</f>
        <v>238992.85</v>
      </c>
      <c r="L86" s="326">
        <f>+L87+L89</f>
        <v>6724.2190350000001</v>
      </c>
      <c r="M86" s="76">
        <f t="shared" ref="M86" si="52">+L86/K86</f>
        <v>2.8135649392858404E-2</v>
      </c>
    </row>
    <row r="87" spans="1:13" s="78" customFormat="1" ht="21" customHeight="1" x14ac:dyDescent="0.2">
      <c r="A87" s="77"/>
      <c r="B87" s="258" t="s">
        <v>284</v>
      </c>
      <c r="C87" s="279"/>
      <c r="D87" s="212"/>
      <c r="E87" s="212"/>
      <c r="F87" s="269"/>
      <c r="G87" s="301">
        <f t="shared" ref="G87:L87" si="53">SUM(G88)</f>
        <v>617</v>
      </c>
      <c r="H87" s="303">
        <f t="shared" si="53"/>
        <v>1.7138888888888888</v>
      </c>
      <c r="I87" s="180">
        <f t="shared" si="53"/>
        <v>6495714.2999999998</v>
      </c>
      <c r="J87" s="191">
        <f t="shared" si="53"/>
        <v>10527.9</v>
      </c>
      <c r="K87" s="191">
        <f t="shared" si="53"/>
        <v>10511.79</v>
      </c>
      <c r="L87" s="317">
        <f t="shared" si="53"/>
        <v>394.79624999999999</v>
      </c>
    </row>
    <row r="88" spans="1:13" s="78" customFormat="1" ht="21" customHeight="1" x14ac:dyDescent="0.2">
      <c r="A88" s="77"/>
      <c r="B88" s="260" t="s">
        <v>144</v>
      </c>
      <c r="C88" s="282">
        <v>3.75</v>
      </c>
      <c r="D88" s="209">
        <v>43572</v>
      </c>
      <c r="E88" s="209">
        <v>46129</v>
      </c>
      <c r="F88" s="249">
        <v>45504</v>
      </c>
      <c r="G88" s="298">
        <f t="shared" ref="G88" si="54">DAYS360(F88,E88)</f>
        <v>617</v>
      </c>
      <c r="H88" s="208">
        <f t="shared" ref="H88:H90" si="55">+G88/360</f>
        <v>1.7138888888888888</v>
      </c>
      <c r="I88" s="310">
        <f t="shared" ref="I88" si="56">+G88*J88</f>
        <v>6495714.2999999998</v>
      </c>
      <c r="J88" s="196">
        <v>10527.9</v>
      </c>
      <c r="K88" s="224">
        <v>10511.79</v>
      </c>
      <c r="L88" s="324">
        <f t="shared" ref="L88:L90" si="57">+J88*C88/100</f>
        <v>394.79624999999999</v>
      </c>
      <c r="M88" s="72">
        <f t="shared" ref="M88:M90" si="58">+L88/K88</f>
        <v>3.7557471182358089E-2</v>
      </c>
    </row>
    <row r="89" spans="1:13" s="78" customFormat="1" ht="21" customHeight="1" x14ac:dyDescent="0.2">
      <c r="A89" s="77"/>
      <c r="B89" s="258" t="s">
        <v>285</v>
      </c>
      <c r="C89" s="279"/>
      <c r="D89" s="212"/>
      <c r="E89" s="212"/>
      <c r="F89" s="269"/>
      <c r="G89" s="301">
        <f t="shared" ref="G89:L89" si="59">SUM(G90)</f>
        <v>1047</v>
      </c>
      <c r="H89" s="303">
        <f t="shared" si="59"/>
        <v>2.9083333333333332</v>
      </c>
      <c r="I89" s="180">
        <f t="shared" si="59"/>
        <v>232523005.47</v>
      </c>
      <c r="J89" s="191">
        <f t="shared" si="59"/>
        <v>222085.01</v>
      </c>
      <c r="K89" s="191">
        <f t="shared" si="59"/>
        <v>228481.06</v>
      </c>
      <c r="L89" s="317">
        <f t="shared" si="59"/>
        <v>6329.4227849999997</v>
      </c>
    </row>
    <row r="90" spans="1:13" s="78" customFormat="1" ht="21" customHeight="1" x14ac:dyDescent="0.2">
      <c r="A90" s="77"/>
      <c r="B90" s="260" t="s">
        <v>286</v>
      </c>
      <c r="C90" s="282">
        <v>2.85</v>
      </c>
      <c r="D90" s="209">
        <v>44340</v>
      </c>
      <c r="E90" s="209">
        <v>46565</v>
      </c>
      <c r="F90" s="249">
        <v>45504</v>
      </c>
      <c r="G90" s="298">
        <f t="shared" ref="G90" si="60">DAYS360(F90,E90)</f>
        <v>1047</v>
      </c>
      <c r="H90" s="208">
        <f t="shared" si="55"/>
        <v>2.9083333333333332</v>
      </c>
      <c r="I90" s="310">
        <f t="shared" ref="I90" si="61">+G90*J90</f>
        <v>232523005.47</v>
      </c>
      <c r="J90" s="196">
        <v>222085.01</v>
      </c>
      <c r="K90" s="224">
        <v>228481.06</v>
      </c>
      <c r="L90" s="324">
        <f t="shared" si="57"/>
        <v>6329.4227849999997</v>
      </c>
      <c r="M90" s="72">
        <f t="shared" si="58"/>
        <v>2.7702177086363307E-2</v>
      </c>
    </row>
    <row r="91" spans="1:13" s="78" customFormat="1" ht="21" customHeight="1" x14ac:dyDescent="0.2">
      <c r="A91" s="77"/>
      <c r="B91" s="260"/>
      <c r="C91" s="282"/>
      <c r="D91" s="209"/>
      <c r="E91" s="209"/>
      <c r="F91" s="249"/>
      <c r="G91" s="247"/>
      <c r="H91" s="209"/>
      <c r="I91" s="248"/>
      <c r="J91" s="196"/>
      <c r="K91" s="224"/>
      <c r="L91" s="39"/>
    </row>
    <row r="92" spans="1:13" s="79" customFormat="1" ht="21" customHeight="1" x14ac:dyDescent="0.2">
      <c r="A92" s="67"/>
      <c r="B92" s="261" t="s">
        <v>10</v>
      </c>
      <c r="C92" s="279"/>
      <c r="D92" s="290"/>
      <c r="E92" s="290"/>
      <c r="F92" s="270"/>
      <c r="G92" s="301">
        <f>+(G93*J93+G95*J95)/J92</f>
        <v>1834.0000000000002</v>
      </c>
      <c r="H92" s="207">
        <f t="shared" ref="H92:H93" si="62">+G92/360</f>
        <v>5.094444444444445</v>
      </c>
      <c r="I92" s="333">
        <f>SUM(I93)</f>
        <v>321685158.90000004</v>
      </c>
      <c r="J92" s="197">
        <f>SUM(J93)</f>
        <v>175400.85</v>
      </c>
      <c r="K92" s="218">
        <f>SUM(K93)</f>
        <v>175400.85</v>
      </c>
      <c r="L92" s="328">
        <f>SUM(L93)</f>
        <v>5262.0255000000006</v>
      </c>
    </row>
    <row r="93" spans="1:13" s="79" customFormat="1" ht="36" customHeight="1" x14ac:dyDescent="0.2">
      <c r="A93" s="67"/>
      <c r="B93" s="264" t="s">
        <v>148</v>
      </c>
      <c r="C93" s="286">
        <v>3</v>
      </c>
      <c r="D93" s="292">
        <v>43712</v>
      </c>
      <c r="E93" s="292">
        <v>47365</v>
      </c>
      <c r="F93" s="272">
        <v>45504</v>
      </c>
      <c r="G93" s="302">
        <f t="shared" ref="G93" si="63">DAYS360(F93,E93)</f>
        <v>1834</v>
      </c>
      <c r="H93" s="304">
        <f t="shared" si="62"/>
        <v>5.0944444444444441</v>
      </c>
      <c r="I93" s="316">
        <f t="shared" ref="I93" si="64">+G93*J93</f>
        <v>321685158.90000004</v>
      </c>
      <c r="J93" s="322">
        <v>175400.85</v>
      </c>
      <c r="K93" s="330">
        <v>175400.85</v>
      </c>
      <c r="L93" s="329">
        <f t="shared" ref="L93" si="65">+J93*C93/100</f>
        <v>5262.0255000000006</v>
      </c>
      <c r="M93" s="80">
        <f t="shared" ref="M93" si="66">+L93/K93</f>
        <v>3.0000000000000002E-2</v>
      </c>
    </row>
    <row r="94" spans="1:13" x14ac:dyDescent="0.25">
      <c r="B94" s="81"/>
      <c r="C94" s="81"/>
      <c r="D94" s="81"/>
      <c r="E94" s="81"/>
      <c r="F94" s="81"/>
      <c r="G94" s="81"/>
      <c r="H94" s="81"/>
      <c r="I94" s="81"/>
      <c r="J94" s="81"/>
      <c r="K94" s="81"/>
    </row>
    <row r="95" spans="1:13" ht="16.5" x14ac:dyDescent="0.25">
      <c r="B95" s="244"/>
      <c r="C95" s="81"/>
      <c r="D95" s="81"/>
      <c r="E95" s="81"/>
      <c r="F95" s="81"/>
      <c r="G95" s="81"/>
      <c r="H95" s="81"/>
      <c r="I95" s="81"/>
      <c r="J95" s="81"/>
      <c r="K95" s="81"/>
    </row>
    <row r="96" spans="1:13" ht="16.5" x14ac:dyDescent="0.25">
      <c r="B96" s="244"/>
      <c r="C96" s="81"/>
      <c r="D96" s="81"/>
      <c r="E96" s="81"/>
      <c r="F96" s="81"/>
      <c r="G96" s="81"/>
      <c r="H96" s="81"/>
      <c r="I96" s="81"/>
      <c r="J96" s="81"/>
      <c r="K96" s="81"/>
    </row>
    <row r="97" spans="2:11" ht="16.5" x14ac:dyDescent="0.25">
      <c r="B97" s="244"/>
      <c r="C97" s="81"/>
      <c r="D97" s="81"/>
      <c r="E97" s="81"/>
      <c r="F97" s="81"/>
      <c r="G97" s="81"/>
      <c r="H97" s="81"/>
      <c r="I97" s="81"/>
      <c r="J97" s="81"/>
      <c r="K97" s="81"/>
    </row>
  </sheetData>
  <mergeCells count="6">
    <mergeCell ref="B7:K7"/>
    <mergeCell ref="B2:K2"/>
    <mergeCell ref="B3:K3"/>
    <mergeCell ref="B4:K4"/>
    <mergeCell ref="B5:K5"/>
    <mergeCell ref="B6:K6"/>
  </mergeCells>
  <printOptions horizontalCentered="1" verticalCentered="1"/>
  <pageMargins left="0.70866141732283472" right="0.70866141732283472" top="0.55118110236220474" bottom="0.55118110236220474" header="0.31496062992125984" footer="0.31496062992125984"/>
  <pageSetup scale="61" fitToWidth="3" fitToHeight="3" orientation="portrait" blackAndWhite="1" verticalDpi="597" r:id="rId1"/>
  <headerFooter alignWithMargins="0">
    <oddFooter>Página &amp;P</oddFooter>
  </headerFooter>
  <rowBreaks count="1" manualBreakCount="1">
    <brk id="54" min="1" max="6" man="1"/>
  </rowBreaks>
  <ignoredErrors>
    <ignoredError sqref="H87:H8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M18"/>
  <sheetViews>
    <sheetView showGridLines="0" zoomScaleNormal="100" zoomScaleSheetLayoutView="70" workbookViewId="0">
      <selection activeCell="D16" sqref="D16"/>
    </sheetView>
  </sheetViews>
  <sheetFormatPr baseColWidth="10" defaultColWidth="18" defaultRowHeight="12.75" x14ac:dyDescent="0.2"/>
  <cols>
    <col min="1" max="1" width="3.42578125" style="82" customWidth="1"/>
    <col min="2" max="2" width="37.42578125" style="82" customWidth="1"/>
    <col min="3" max="3" width="15.28515625" style="82" customWidth="1"/>
    <col min="4" max="4" width="18.42578125" style="82" customWidth="1"/>
    <col min="5" max="5" width="20" style="82" customWidth="1"/>
    <col min="6" max="7" width="17.28515625" style="82" hidden="1" customWidth="1"/>
    <col min="8" max="8" width="17.28515625" style="82" customWidth="1"/>
    <col min="9" max="9" width="29.140625" style="82" hidden="1" customWidth="1"/>
    <col min="10" max="10" width="22.42578125" style="82" customWidth="1"/>
    <col min="11" max="11" width="22.28515625" style="82" customWidth="1"/>
    <col min="12" max="12" width="21" style="82" hidden="1" customWidth="1"/>
    <col min="13" max="13" width="0" style="85" hidden="1" customWidth="1"/>
    <col min="14" max="16384" width="18" style="85"/>
  </cols>
  <sheetData>
    <row r="1" spans="1:13" ht="21" customHeight="1" x14ac:dyDescent="0.25">
      <c r="B1" s="83"/>
      <c r="C1" s="83"/>
      <c r="D1" s="83"/>
      <c r="E1" s="83"/>
      <c r="F1" s="83"/>
      <c r="G1" s="83"/>
      <c r="H1" s="83"/>
      <c r="I1" s="83"/>
      <c r="J1" s="83"/>
      <c r="K1" s="84"/>
    </row>
    <row r="2" spans="1:13" s="87" customFormat="1" ht="21.95" customHeight="1" x14ac:dyDescent="0.2">
      <c r="A2" s="86"/>
      <c r="B2" s="378" t="s">
        <v>0</v>
      </c>
      <c r="C2" s="378"/>
      <c r="D2" s="378"/>
      <c r="E2" s="378"/>
      <c r="F2" s="378"/>
      <c r="G2" s="378"/>
      <c r="H2" s="378"/>
      <c r="I2" s="378"/>
      <c r="J2" s="378"/>
      <c r="K2" s="378"/>
      <c r="L2" s="86"/>
    </row>
    <row r="3" spans="1:13" s="87" customFormat="1" ht="21.95" customHeight="1" x14ac:dyDescent="0.2">
      <c r="A3" s="86"/>
      <c r="B3" s="380" t="s">
        <v>1</v>
      </c>
      <c r="C3" s="380"/>
      <c r="D3" s="380"/>
      <c r="E3" s="380"/>
      <c r="F3" s="380"/>
      <c r="G3" s="380"/>
      <c r="H3" s="380"/>
      <c r="I3" s="380"/>
      <c r="J3" s="380"/>
      <c r="K3" s="380"/>
      <c r="L3" s="86"/>
    </row>
    <row r="4" spans="1:13" s="87" customFormat="1" ht="21.95" customHeight="1" x14ac:dyDescent="0.2">
      <c r="A4" s="86"/>
      <c r="B4" s="378" t="s">
        <v>300</v>
      </c>
      <c r="C4" s="378"/>
      <c r="D4" s="378"/>
      <c r="E4" s="378"/>
      <c r="F4" s="378"/>
      <c r="G4" s="378"/>
      <c r="H4" s="378"/>
      <c r="I4" s="378"/>
      <c r="J4" s="378"/>
      <c r="K4" s="378"/>
      <c r="L4" s="86"/>
    </row>
    <row r="5" spans="1:13" s="87" customFormat="1" ht="21.95" customHeight="1" x14ac:dyDescent="0.2">
      <c r="A5" s="86"/>
      <c r="B5" s="378" t="s">
        <v>14</v>
      </c>
      <c r="C5" s="378"/>
      <c r="D5" s="378"/>
      <c r="E5" s="378"/>
      <c r="F5" s="378"/>
      <c r="G5" s="378"/>
      <c r="H5" s="378"/>
      <c r="I5" s="378"/>
      <c r="J5" s="378"/>
      <c r="K5" s="378"/>
      <c r="L5" s="86"/>
    </row>
    <row r="6" spans="1:13" s="87" customFormat="1" ht="21.95" customHeight="1" x14ac:dyDescent="0.2">
      <c r="A6" s="86"/>
      <c r="B6" s="378" t="s">
        <v>2</v>
      </c>
      <c r="C6" s="378"/>
      <c r="D6" s="378"/>
      <c r="E6" s="378"/>
      <c r="F6" s="378"/>
      <c r="G6" s="378"/>
      <c r="H6" s="378"/>
      <c r="I6" s="378"/>
      <c r="J6" s="378"/>
      <c r="K6" s="378"/>
      <c r="L6" s="86"/>
    </row>
    <row r="7" spans="1:13" ht="60" customHeight="1" x14ac:dyDescent="0.2">
      <c r="B7" s="241" t="s">
        <v>3</v>
      </c>
      <c r="C7" s="242" t="s">
        <v>329</v>
      </c>
      <c r="D7" s="128" t="s">
        <v>312</v>
      </c>
      <c r="E7" s="128" t="s">
        <v>313</v>
      </c>
      <c r="F7" s="129" t="s">
        <v>12</v>
      </c>
      <c r="G7" s="129" t="s">
        <v>13</v>
      </c>
      <c r="H7" s="129" t="s">
        <v>314</v>
      </c>
      <c r="I7" s="242"/>
      <c r="J7" s="242" t="s">
        <v>6</v>
      </c>
      <c r="K7" s="242" t="s">
        <v>4</v>
      </c>
    </row>
    <row r="8" spans="1:13" ht="36" customHeight="1" x14ac:dyDescent="0.25">
      <c r="B8" s="348" t="s">
        <v>5</v>
      </c>
      <c r="C8" s="338"/>
      <c r="D8" s="340"/>
      <c r="E8" s="336"/>
      <c r="F8" s="335"/>
      <c r="G8" s="342"/>
      <c r="H8" s="340"/>
      <c r="I8" s="344"/>
      <c r="J8" s="215">
        <f>J10</f>
        <v>28168300</v>
      </c>
      <c r="K8" s="215">
        <f>K10</f>
        <v>29657409.5</v>
      </c>
    </row>
    <row r="9" spans="1:13" s="87" customFormat="1" ht="29.25" hidden="1" customHeight="1" x14ac:dyDescent="0.2">
      <c r="A9" s="86"/>
      <c r="B9" s="349"/>
      <c r="C9" s="207"/>
      <c r="D9" s="341"/>
      <c r="E9" s="337"/>
      <c r="F9" s="334"/>
      <c r="G9" s="343"/>
      <c r="H9" s="341"/>
      <c r="I9" s="345"/>
      <c r="J9" s="188"/>
      <c r="K9" s="188"/>
      <c r="L9" s="86"/>
    </row>
    <row r="10" spans="1:13" s="87" customFormat="1" ht="41.25" customHeight="1" x14ac:dyDescent="0.2">
      <c r="A10" s="86"/>
      <c r="B10" s="350" t="s">
        <v>272</v>
      </c>
      <c r="C10" s="207"/>
      <c r="D10" s="341"/>
      <c r="E10" s="337"/>
      <c r="F10" s="334"/>
      <c r="G10" s="250">
        <f>+(G11*J11+G12*J12)/J10</f>
        <v>4050.6602705878595</v>
      </c>
      <c r="H10" s="207">
        <f>+G10/360</f>
        <v>11.251834084966276</v>
      </c>
      <c r="I10" s="315">
        <f>SUM(I11:I12)</f>
        <v>114100213700</v>
      </c>
      <c r="J10" s="188">
        <f>SUM(J11:J12)</f>
        <v>28168300</v>
      </c>
      <c r="K10" s="188">
        <f>SUM(K11:K12)</f>
        <v>29657409.5</v>
      </c>
      <c r="L10" s="347">
        <f>SUM(L11:L12)</f>
        <v>1890116.375</v>
      </c>
      <c r="M10" s="76">
        <f>+L10/K10</f>
        <v>6.3731674710159697E-2</v>
      </c>
    </row>
    <row r="11" spans="1:13" s="87" customFormat="1" ht="34.5" customHeight="1" x14ac:dyDescent="0.2">
      <c r="A11" s="86"/>
      <c r="B11" s="153" t="s">
        <v>173</v>
      </c>
      <c r="C11" s="339">
        <v>7.125</v>
      </c>
      <c r="D11" s="209">
        <v>39826</v>
      </c>
      <c r="E11" s="249">
        <v>46051</v>
      </c>
      <c r="F11" s="246">
        <v>45504</v>
      </c>
      <c r="G11" s="298">
        <f>DAYS360(F11,E11)</f>
        <v>539</v>
      </c>
      <c r="H11" s="208">
        <f>+G11/360</f>
        <v>1.4972222222222222</v>
      </c>
      <c r="I11" s="346">
        <f>+G11*J11</f>
        <v>360213700</v>
      </c>
      <c r="J11" s="224">
        <v>668300</v>
      </c>
      <c r="K11" s="224">
        <v>644909.5</v>
      </c>
      <c r="L11" s="324">
        <f>+J11*C11/100</f>
        <v>47616.375</v>
      </c>
      <c r="M11" s="88">
        <f>+L11/K11</f>
        <v>7.3834196891191708E-2</v>
      </c>
    </row>
    <row r="12" spans="1:13" s="87" customFormat="1" ht="34.5" customHeight="1" x14ac:dyDescent="0.2">
      <c r="A12" s="86"/>
      <c r="B12" s="351" t="s">
        <v>301</v>
      </c>
      <c r="C12" s="304">
        <v>6.7</v>
      </c>
      <c r="D12" s="292">
        <v>40269</v>
      </c>
      <c r="E12" s="352">
        <v>49700</v>
      </c>
      <c r="F12" s="353">
        <v>45504</v>
      </c>
      <c r="G12" s="354">
        <f>DAYS360(F12,E12)</f>
        <v>4136</v>
      </c>
      <c r="H12" s="304">
        <f>+G12/360</f>
        <v>11.488888888888889</v>
      </c>
      <c r="I12" s="355">
        <f>+G12*J12</f>
        <v>113740000000</v>
      </c>
      <c r="J12" s="330">
        <v>27500000</v>
      </c>
      <c r="K12" s="330">
        <v>29012500</v>
      </c>
      <c r="L12" s="324">
        <f>+J12*C12/100</f>
        <v>1842500</v>
      </c>
      <c r="M12" s="72">
        <f>+L12/K12</f>
        <v>6.350710900473934E-2</v>
      </c>
    </row>
    <row r="13" spans="1:13" ht="27" customHeight="1" x14ac:dyDescent="0.25">
      <c r="B13" s="89"/>
      <c r="C13" s="90"/>
      <c r="D13" s="90"/>
      <c r="E13" s="90"/>
      <c r="F13" s="90"/>
      <c r="G13" s="90"/>
      <c r="H13" s="90"/>
      <c r="I13" s="90"/>
      <c r="J13" s="91"/>
      <c r="K13" s="83"/>
    </row>
    <row r="14" spans="1:13" ht="27" customHeight="1" x14ac:dyDescent="0.25">
      <c r="B14" s="89"/>
      <c r="C14" s="90"/>
      <c r="D14" s="90"/>
      <c r="E14" s="90"/>
      <c r="F14" s="90"/>
      <c r="G14" s="90"/>
      <c r="H14" s="90"/>
      <c r="I14" s="90"/>
      <c r="J14" s="91"/>
      <c r="K14" s="83"/>
    </row>
    <row r="15" spans="1:13" ht="27" customHeight="1" x14ac:dyDescent="0.25">
      <c r="B15" s="89"/>
      <c r="C15" s="90"/>
      <c r="D15" s="90"/>
      <c r="E15" s="90"/>
      <c r="F15" s="90"/>
      <c r="G15" s="90"/>
      <c r="H15" s="90"/>
      <c r="I15" s="90"/>
      <c r="J15" s="91"/>
      <c r="K15" s="83"/>
    </row>
    <row r="16" spans="1:13" ht="27" customHeight="1" x14ac:dyDescent="0.25">
      <c r="B16" s="89"/>
      <c r="C16" s="90"/>
      <c r="D16" s="90"/>
      <c r="E16" s="90"/>
      <c r="F16" s="90"/>
      <c r="G16" s="90"/>
      <c r="H16" s="90"/>
      <c r="I16" s="90"/>
      <c r="J16" s="91"/>
      <c r="K16" s="83"/>
    </row>
    <row r="17" spans="2:10" ht="31.5" customHeight="1" x14ac:dyDescent="0.25">
      <c r="B17" s="92"/>
      <c r="C17" s="91"/>
      <c r="D17" s="91"/>
      <c r="E17" s="91"/>
      <c r="F17" s="91"/>
      <c r="G17" s="91"/>
      <c r="H17" s="91"/>
      <c r="I17" s="91"/>
      <c r="J17" s="91"/>
    </row>
    <row r="18" spans="2:10" ht="31.5" customHeight="1" x14ac:dyDescent="0.25">
      <c r="B18" s="92"/>
      <c r="C18" s="91"/>
      <c r="D18" s="91"/>
      <c r="E18" s="91"/>
      <c r="F18" s="91"/>
      <c r="G18" s="91"/>
      <c r="H18" s="91"/>
      <c r="I18" s="91"/>
      <c r="J18" s="91"/>
    </row>
  </sheetData>
  <mergeCells count="5">
    <mergeCell ref="B2:K2"/>
    <mergeCell ref="B4:K4"/>
    <mergeCell ref="B3:K3"/>
    <mergeCell ref="B5:K5"/>
    <mergeCell ref="B6:K6"/>
  </mergeCells>
  <printOptions horizontalCentered="1" verticalCentered="1"/>
  <pageMargins left="0" right="0" top="0.74803149606299213" bottom="0.74803149606299213" header="0" footer="0"/>
  <pageSetup scale="60" orientation="portrait" verticalDpi="597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15"/>
  <sheetViews>
    <sheetView showGridLines="0" zoomScaleNormal="100" zoomScaleSheetLayoutView="90" workbookViewId="0">
      <selection activeCell="K15" sqref="K15"/>
    </sheetView>
  </sheetViews>
  <sheetFormatPr baseColWidth="10" defaultColWidth="11.42578125" defaultRowHeight="15.75" x14ac:dyDescent="0.25"/>
  <cols>
    <col min="1" max="1" width="4" style="66" customWidth="1"/>
    <col min="2" max="2" width="49.7109375" style="65" customWidth="1"/>
    <col min="3" max="3" width="14.85546875" style="65" customWidth="1"/>
    <col min="4" max="4" width="14.42578125" style="65" customWidth="1"/>
    <col min="5" max="5" width="21.28515625" style="65" customWidth="1"/>
    <col min="6" max="7" width="16.42578125" style="65" hidden="1" customWidth="1"/>
    <col min="8" max="8" width="16.42578125" style="65" customWidth="1"/>
    <col min="9" max="9" width="22.42578125" style="65" hidden="1" customWidth="1"/>
    <col min="10" max="10" width="17.28515625" style="65" customWidth="1"/>
    <col min="11" max="11" width="19.42578125" style="65" customWidth="1"/>
    <col min="12" max="12" width="48.28515625" style="66" customWidth="1"/>
    <col min="13" max="13" width="14" style="93" customWidth="1"/>
    <col min="14" max="16384" width="11.42578125" style="93"/>
  </cols>
  <sheetData>
    <row r="1" spans="1:12" ht="19.149999999999999" customHeight="1" x14ac:dyDescent="0.25">
      <c r="A1" s="93"/>
      <c r="B1" s="91"/>
      <c r="C1" s="91"/>
      <c r="D1" s="91"/>
      <c r="E1" s="91"/>
      <c r="F1" s="91"/>
      <c r="G1" s="91"/>
      <c r="H1" s="91"/>
      <c r="I1" s="91"/>
      <c r="J1" s="91"/>
      <c r="K1" s="94"/>
    </row>
    <row r="2" spans="1:12" ht="21.95" customHeight="1" x14ac:dyDescent="0.25">
      <c r="A2" s="93"/>
      <c r="B2" s="375" t="s">
        <v>0</v>
      </c>
      <c r="C2" s="375"/>
      <c r="D2" s="375"/>
      <c r="E2" s="375"/>
      <c r="F2" s="375"/>
      <c r="G2" s="375"/>
      <c r="H2" s="375"/>
      <c r="I2" s="375"/>
      <c r="J2" s="375"/>
      <c r="K2" s="375"/>
    </row>
    <row r="3" spans="1:12" ht="21.95" customHeight="1" x14ac:dyDescent="0.25">
      <c r="A3" s="93"/>
      <c r="B3" s="375" t="s">
        <v>1</v>
      </c>
      <c r="C3" s="375"/>
      <c r="D3" s="375"/>
      <c r="E3" s="375"/>
      <c r="F3" s="375"/>
      <c r="G3" s="375"/>
      <c r="H3" s="375"/>
      <c r="I3" s="375"/>
      <c r="J3" s="375"/>
      <c r="K3" s="375"/>
    </row>
    <row r="4" spans="1:12" ht="21.95" customHeight="1" x14ac:dyDescent="0.25">
      <c r="A4" s="93"/>
      <c r="B4" s="378" t="s">
        <v>302</v>
      </c>
      <c r="C4" s="378"/>
      <c r="D4" s="390"/>
      <c r="E4" s="390"/>
      <c r="F4" s="390"/>
      <c r="G4" s="390"/>
      <c r="H4" s="390"/>
      <c r="I4" s="390"/>
      <c r="J4" s="390"/>
      <c r="K4" s="390"/>
    </row>
    <row r="5" spans="1:12" ht="21.95" customHeight="1" x14ac:dyDescent="0.25">
      <c r="A5" s="93"/>
      <c r="B5" s="378" t="s">
        <v>14</v>
      </c>
      <c r="C5" s="378"/>
      <c r="D5" s="390"/>
      <c r="E5" s="390"/>
      <c r="F5" s="390"/>
      <c r="G5" s="390"/>
      <c r="H5" s="390"/>
      <c r="I5" s="390"/>
      <c r="J5" s="390"/>
      <c r="K5" s="390"/>
    </row>
    <row r="6" spans="1:12" ht="21.95" customHeight="1" x14ac:dyDescent="0.25">
      <c r="A6" s="93"/>
      <c r="B6" s="375" t="s">
        <v>2</v>
      </c>
      <c r="C6" s="375"/>
      <c r="D6" s="375"/>
      <c r="E6" s="375"/>
      <c r="F6" s="375"/>
      <c r="G6" s="375"/>
      <c r="H6" s="375"/>
      <c r="I6" s="375"/>
      <c r="J6" s="375"/>
      <c r="K6" s="375"/>
    </row>
    <row r="7" spans="1:12" ht="60" customHeight="1" x14ac:dyDescent="0.25">
      <c r="A7" s="93"/>
      <c r="B7" s="241" t="s">
        <v>303</v>
      </c>
      <c r="C7" s="242" t="s">
        <v>330</v>
      </c>
      <c r="D7" s="128" t="s">
        <v>312</v>
      </c>
      <c r="E7" s="128" t="s">
        <v>313</v>
      </c>
      <c r="F7" s="242" t="s">
        <v>12</v>
      </c>
      <c r="G7" s="242" t="s">
        <v>304</v>
      </c>
      <c r="H7" s="129" t="s">
        <v>314</v>
      </c>
      <c r="I7" s="242"/>
      <c r="J7" s="242" t="s">
        <v>305</v>
      </c>
      <c r="K7" s="242" t="s">
        <v>4</v>
      </c>
    </row>
    <row r="8" spans="1:12" ht="39.6" customHeight="1" x14ac:dyDescent="0.25">
      <c r="A8" s="93"/>
      <c r="B8" s="356" t="s">
        <v>5</v>
      </c>
      <c r="C8" s="358"/>
      <c r="D8" s="359"/>
      <c r="E8" s="359"/>
      <c r="F8" s="359"/>
      <c r="G8" s="359"/>
      <c r="H8" s="359"/>
      <c r="I8" s="360"/>
      <c r="J8" s="360">
        <f>SUM(J10:J14)</f>
        <v>80000000</v>
      </c>
      <c r="K8" s="357">
        <f>SUM(K10:K14)</f>
        <v>80000000</v>
      </c>
      <c r="L8" s="95"/>
    </row>
    <row r="9" spans="1:12" ht="39.6" customHeight="1" x14ac:dyDescent="0.25">
      <c r="A9" s="93"/>
      <c r="B9" s="384" t="s">
        <v>309</v>
      </c>
      <c r="C9" s="385"/>
      <c r="D9" s="385"/>
      <c r="E9" s="385"/>
      <c r="F9" s="385"/>
      <c r="G9" s="385"/>
      <c r="H9" s="385"/>
      <c r="I9" s="385"/>
      <c r="J9" s="385"/>
      <c r="K9" s="386"/>
      <c r="L9" s="95"/>
    </row>
    <row r="10" spans="1:12" ht="36.75" customHeight="1" x14ac:dyDescent="0.25">
      <c r="A10" s="93"/>
      <c r="B10" s="362" t="s">
        <v>306</v>
      </c>
      <c r="C10" s="363">
        <v>5.5</v>
      </c>
      <c r="D10" s="364">
        <v>45042</v>
      </c>
      <c r="E10" s="364">
        <v>45772</v>
      </c>
      <c r="F10" s="364">
        <v>45504</v>
      </c>
      <c r="G10" s="365">
        <f>DAYS360(F10,E10)</f>
        <v>265</v>
      </c>
      <c r="H10" s="243">
        <f>+G10/360</f>
        <v>0.73611111111111116</v>
      </c>
      <c r="I10" s="366">
        <f>+G10*J10</f>
        <v>7950000000</v>
      </c>
      <c r="J10" s="367">
        <v>30000000</v>
      </c>
      <c r="K10" s="361">
        <v>30000000</v>
      </c>
    </row>
    <row r="11" spans="1:12" ht="10.5" customHeight="1" x14ac:dyDescent="0.25">
      <c r="A11" s="93"/>
      <c r="B11" s="391"/>
      <c r="C11" s="392"/>
      <c r="D11" s="392"/>
      <c r="E11" s="392"/>
      <c r="F11" s="392"/>
      <c r="G11" s="392"/>
      <c r="H11" s="392"/>
      <c r="I11" s="392"/>
      <c r="J11" s="392"/>
      <c r="K11" s="393"/>
    </row>
    <row r="12" spans="1:12" ht="36.75" customHeight="1" x14ac:dyDescent="0.25">
      <c r="A12" s="93"/>
      <c r="B12" s="362" t="s">
        <v>307</v>
      </c>
      <c r="C12" s="363">
        <v>6</v>
      </c>
      <c r="D12" s="364">
        <v>45175</v>
      </c>
      <c r="E12" s="364">
        <v>45906</v>
      </c>
      <c r="F12" s="364">
        <v>45504</v>
      </c>
      <c r="G12" s="365">
        <f t="shared" ref="G12:G14" si="0">DAYS360(F12,E12)</f>
        <v>396</v>
      </c>
      <c r="H12" s="243">
        <f t="shared" ref="H12:H14" si="1">+G12/360</f>
        <v>1.1000000000000001</v>
      </c>
      <c r="I12" s="366">
        <f t="shared" ref="I12:I14" si="2">+G12*J12</f>
        <v>7920000000</v>
      </c>
      <c r="J12" s="367">
        <v>20000000</v>
      </c>
      <c r="K12" s="361">
        <v>20000000</v>
      </c>
    </row>
    <row r="13" spans="1:12" ht="36.75" customHeight="1" x14ac:dyDescent="0.25">
      <c r="A13" s="93"/>
      <c r="B13" s="387" t="s">
        <v>310</v>
      </c>
      <c r="C13" s="388"/>
      <c r="D13" s="388"/>
      <c r="E13" s="388"/>
      <c r="F13" s="388"/>
      <c r="G13" s="388"/>
      <c r="H13" s="388"/>
      <c r="I13" s="388"/>
      <c r="J13" s="388"/>
      <c r="K13" s="389"/>
    </row>
    <row r="14" spans="1:12" ht="36.75" customHeight="1" x14ac:dyDescent="0.25">
      <c r="A14" s="93"/>
      <c r="B14" s="362" t="s">
        <v>308</v>
      </c>
      <c r="C14" s="363">
        <v>5.9</v>
      </c>
      <c r="D14" s="364">
        <v>45175</v>
      </c>
      <c r="E14" s="364">
        <v>47262</v>
      </c>
      <c r="F14" s="364">
        <v>45504</v>
      </c>
      <c r="G14" s="365">
        <f t="shared" si="0"/>
        <v>1734</v>
      </c>
      <c r="H14" s="243">
        <f t="shared" si="1"/>
        <v>4.8166666666666664</v>
      </c>
      <c r="I14" s="366">
        <f t="shared" si="2"/>
        <v>52020000000</v>
      </c>
      <c r="J14" s="367">
        <v>30000000</v>
      </c>
      <c r="K14" s="361">
        <v>30000000</v>
      </c>
    </row>
    <row r="15" spans="1:12" ht="29.25" customHeight="1" x14ac:dyDescent="0.25">
      <c r="A15" s="93"/>
      <c r="B15" s="96"/>
      <c r="C15" s="97"/>
      <c r="D15" s="69"/>
      <c r="E15" s="69"/>
      <c r="F15" s="69"/>
      <c r="G15" s="69"/>
      <c r="H15" s="69"/>
      <c r="I15" s="69"/>
      <c r="J15" s="98"/>
      <c r="K15" s="98"/>
    </row>
  </sheetData>
  <mergeCells count="8">
    <mergeCell ref="B9:K9"/>
    <mergeCell ref="B13:K13"/>
    <mergeCell ref="B2:K2"/>
    <mergeCell ref="B3:K3"/>
    <mergeCell ref="B4:K4"/>
    <mergeCell ref="B5:K5"/>
    <mergeCell ref="B6:K6"/>
    <mergeCell ref="B11:K11"/>
  </mergeCells>
  <pageMargins left="0.75" right="0.75" top="1" bottom="1" header="0" footer="0"/>
  <pageSetup scale="70" orientation="portrait" verticalDpi="598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8</vt:i4>
      </vt:variant>
    </vt:vector>
  </HeadingPairs>
  <TitlesOfParts>
    <vt:vector size="13" baseType="lpstr">
      <vt:lpstr>SUBS. EXCLUSIVO</vt:lpstr>
      <vt:lpstr>SUBSISTEMA MIXTO</vt:lpstr>
      <vt:lpstr>SEGUROS COLECTIVOS</vt:lpstr>
      <vt:lpstr>R. PROFESIONALES</vt:lpstr>
      <vt:lpstr>ENF Y MAT Y BENEF. DEFINIDO</vt:lpstr>
      <vt:lpstr>'ENF Y MAT Y BENEF. DEFINIDO'!Área_de_impresión</vt:lpstr>
      <vt:lpstr>'R. PROFESIONALES'!Área_de_impresión</vt:lpstr>
      <vt:lpstr>'SEGUROS COLECTIVOS'!Área_de_impresión</vt:lpstr>
      <vt:lpstr>'SUBS. EXCLUSIVO'!Área_de_impresión</vt:lpstr>
      <vt:lpstr>'SUBSISTEMA MIXTO'!Área_de_impresión</vt:lpstr>
      <vt:lpstr>'SEGUROS COLECTIVOS'!Títulos_a_imprimir</vt:lpstr>
      <vt:lpstr>'SUBS. EXCLUSIVO'!Títulos_a_imprimir</vt:lpstr>
      <vt:lpstr>'SUBSISTEMA MIXTO'!Títulos_a_imprimir</vt:lpstr>
    </vt:vector>
  </TitlesOfParts>
  <Company>Caja de Seguro Social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nasanchez</dc:creator>
  <cp:lastModifiedBy>Mata, Raul A.</cp:lastModifiedBy>
  <cp:lastPrinted>2024-08-14T15:09:07Z</cp:lastPrinted>
  <dcterms:created xsi:type="dcterms:W3CDTF">2009-01-13T15:46:06Z</dcterms:created>
  <dcterms:modified xsi:type="dcterms:W3CDTF">2024-08-21T15:16:20Z</dcterms:modified>
</cp:coreProperties>
</file>