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shconsultores-my.sharepoint.com/personal/cesar_herrera_sh-consultores_com/Documents/Escritorio/CSS_2024/00) DIALOGO/01) INFORMACION_FINANCIERA/04) Listado de Activos Invertibles/"/>
    </mc:Choice>
  </mc:AlternateContent>
  <xr:revisionPtr revIDLastSave="0" documentId="11_7EB04516011BCB08CDCC1EF5BDE5635E127C0AA3" xr6:coauthVersionLast="47" xr6:coauthVersionMax="47" xr10:uidLastSave="{00000000-0000-0000-0000-000000000000}"/>
  <bookViews>
    <workbookView xWindow="-110" yWindow="-110" windowWidth="19420" windowHeight="10300" firstSheet="1" activeTab="1" xr2:uid="{00000000-000D-0000-FFFF-FFFF00000000}"/>
  </bookViews>
  <sheets>
    <sheet name="CSS-RENDIMIENTO % ju22" sheetId="4" state="hidden" r:id="rId1"/>
    <sheet name="RESUMEN" sheetId="3" r:id="rId2"/>
    <sheet name="SUBS EXCLUSIVO" sheetId="40" r:id="rId3"/>
    <sheet name="SUBSISTEMA MIXTO" sheetId="41" r:id="rId4"/>
    <sheet name="SEGUROS COLECTIVOS" sheetId="42" r:id="rId5"/>
    <sheet name="R. PROFESIONALES" sheetId="43" r:id="rId6"/>
    <sheet name="ENF Y MATERNIDAD" sheetId="44" r:id="rId7"/>
    <sheet name="G. ADMINISTRATIVA" sheetId="45" r:id="rId8"/>
    <sheet name="CSS-SALDO ju22" sheetId="1" state="hidden" r:id="rId9"/>
    <sheet name="CSS-REND" sheetId="2" state="hidden" r:id="rId10"/>
    <sheet name="GESTION" sheetId="5" state="hidden" r:id="rId11"/>
    <sheet name="IVM" sheetId="6" state="hidden" r:id="rId12"/>
    <sheet name="MIXTO" sheetId="7" state="hidden" r:id="rId13"/>
    <sheet name="RP" sheetId="8" state="hidden" r:id="rId14"/>
    <sheet name="IVM1" sheetId="9" state="hidden" r:id="rId15"/>
    <sheet name="EYM" sheetId="10" state="hidden" r:id="rId16"/>
    <sheet name="MIX" sheetId="11" state="hidden" r:id="rId17"/>
    <sheet name="adm" sheetId="12" state="hidden" r:id="rId18"/>
    <sheet name="colec" sheetId="13" state="hidden" r:id="rId19"/>
    <sheet name="Hoja5" sheetId="14" state="hidden" r:id="rId20"/>
    <sheet name="rs" sheetId="15" state="hidden" r:id="rId21"/>
    <sheet name="ms" sheetId="16" state="hidden" r:id="rId22"/>
    <sheet name="is" sheetId="18" state="hidden" r:id="rId23"/>
    <sheet name="matsept" sheetId="19" state="hidden" r:id="rId24"/>
    <sheet name="msept" sheetId="20" state="hidden" r:id="rId25"/>
    <sheet name="Hoja8" sheetId="21" state="hidden" r:id="rId26"/>
    <sheet name="rpsept" sheetId="25" state="hidden" r:id="rId27"/>
    <sheet name="ivmsep" sheetId="26" state="hidden" r:id="rId28"/>
    <sheet name="cuadre" sheetId="28" state="hidden" r:id="rId29"/>
    <sheet name="Hoja11" sheetId="24" state="hidden" r:id="rId30"/>
    <sheet name="Hoja10" sheetId="23" state="hidden" r:id="rId31"/>
    <sheet name="Hoja9" sheetId="22" state="hidden" r:id="rId32"/>
    <sheet name="overnight" sheetId="29" state="hidden" r:id="rId33"/>
    <sheet name="Hoja1" sheetId="30" state="hidden" r:id="rId34"/>
    <sheet name="CSS-SADLDO" sheetId="38" state="hidden" r:id="rId35"/>
    <sheet name="rp23" sheetId="31" state="hidden" r:id="rId36"/>
    <sheet name="em23" sheetId="32" state="hidden" r:id="rId37"/>
    <sheet name="ivm23" sheetId="33" state="hidden" r:id="rId38"/>
    <sheet name="m" sheetId="34" state="hidden" r:id="rId39"/>
    <sheet name="Hoja3" sheetId="35" state="hidden" r:id="rId40"/>
    <sheet name="Hoja4" sheetId="36" state="hidden" r:id="rId41"/>
    <sheet name="Hoja2" sheetId="37" state="hidden" r:id="rId42"/>
    <sheet name="Hoja6" sheetId="39" state="hidden" r:id="rId43"/>
  </sheets>
  <externalReferences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</externalReferences>
  <definedNames>
    <definedName name="_1aa_1" localSheetId="0">#REF!</definedName>
    <definedName name="_1aa_1" localSheetId="34">#REF!</definedName>
    <definedName name="_1aa_1" localSheetId="6">#REF!</definedName>
    <definedName name="_1aa_1" localSheetId="7">#REF!</definedName>
    <definedName name="_1aa_1" localSheetId="5">#REF!</definedName>
    <definedName name="_1aa_1" localSheetId="1">#REF!</definedName>
    <definedName name="_1aa_1" localSheetId="4">#REF!</definedName>
    <definedName name="_1aa_1" localSheetId="2">#REF!</definedName>
    <definedName name="_1aa_1" localSheetId="3">#REF!</definedName>
    <definedName name="_1aa_1">#REF!</definedName>
    <definedName name="_2DD_1" localSheetId="0">#REF!</definedName>
    <definedName name="_2DD_1" localSheetId="34">#REF!</definedName>
    <definedName name="_2DD_1" localSheetId="6">#REF!</definedName>
    <definedName name="_2DD_1" localSheetId="7">#REF!</definedName>
    <definedName name="_2DD_1" localSheetId="5">#REF!</definedName>
    <definedName name="_2DD_1" localSheetId="1">#REF!</definedName>
    <definedName name="_2DD_1" localSheetId="4">#REF!</definedName>
    <definedName name="_2DD_1" localSheetId="2">#REF!</definedName>
    <definedName name="_2DD_1" localSheetId="3">#REF!</definedName>
    <definedName name="_2DD_1">#REF!</definedName>
    <definedName name="_3hhh_1" localSheetId="0">'[1]PRO-MEN'!#REF!</definedName>
    <definedName name="_3hhh_1" localSheetId="34">'[1]PRO-MEN'!#REF!</definedName>
    <definedName name="_3hhh_1" localSheetId="6">'[1]PRO-MEN'!#REF!</definedName>
    <definedName name="_3hhh_1" localSheetId="7">'[1]PRO-MEN'!#REF!</definedName>
    <definedName name="_3hhh_1" localSheetId="5">'[1]PRO-MEN'!#REF!</definedName>
    <definedName name="_3hhh_1" localSheetId="1">'[1]PRO-MEN'!#REF!</definedName>
    <definedName name="_3hhh_1" localSheetId="4">'[1]PRO-MEN'!#REF!</definedName>
    <definedName name="_3hhh_1" localSheetId="2">'[1]PRO-MEN'!#REF!</definedName>
    <definedName name="_3hhh_1" localSheetId="3">'[1]PRO-MEN'!#REF!</definedName>
    <definedName name="_3hhh_1">'[1]PRO-MEN'!#REF!</definedName>
    <definedName name="_4jjjj_1" localSheetId="0">'[2]Mensual SOP'!#REF!</definedName>
    <definedName name="_4jjjj_1" localSheetId="34">'[2]Mensual SOP'!#REF!</definedName>
    <definedName name="_4jjjj_1" localSheetId="6">'[2]Mensual SOP'!#REF!</definedName>
    <definedName name="_4jjjj_1" localSheetId="7">'[2]Mensual SOP'!#REF!</definedName>
    <definedName name="_4jjjj_1" localSheetId="5">'[2]Mensual SOP'!#REF!</definedName>
    <definedName name="_4jjjj_1" localSheetId="1">'[2]Mensual SOP'!#REF!</definedName>
    <definedName name="_4jjjj_1" localSheetId="4">'[2]Mensual SOP'!#REF!</definedName>
    <definedName name="_4jjjj_1" localSheetId="2">'[2]Mensual SOP'!#REF!</definedName>
    <definedName name="_4jjjj_1" localSheetId="3">'[2]Mensual SOP'!#REF!</definedName>
    <definedName name="_4jjjj_1">'[2]Mensual SOP'!#REF!</definedName>
    <definedName name="_5n_1" localSheetId="0">#REF!</definedName>
    <definedName name="_5n_1" localSheetId="34">#REF!</definedName>
    <definedName name="_5n_1" localSheetId="6">#REF!</definedName>
    <definedName name="_5n_1" localSheetId="7">#REF!</definedName>
    <definedName name="_5n_1" localSheetId="5">#REF!</definedName>
    <definedName name="_5n_1" localSheetId="1">#REF!</definedName>
    <definedName name="_5n_1" localSheetId="4">#REF!</definedName>
    <definedName name="_5n_1" localSheetId="2">#REF!</definedName>
    <definedName name="_5n_1" localSheetId="3">#REF!</definedName>
    <definedName name="_5n_1">#REF!</definedName>
    <definedName name="a" localSheetId="0">'[3]Mensual SOP'!#REF!</definedName>
    <definedName name="a" localSheetId="34">'[3]Mensual SOP'!#REF!</definedName>
    <definedName name="a" localSheetId="6">'[3]Mensual SOP'!#REF!</definedName>
    <definedName name="a" localSheetId="7">'[3]Mensual SOP'!#REF!</definedName>
    <definedName name="a" localSheetId="5">'[3]Mensual SOP'!#REF!</definedName>
    <definedName name="a" localSheetId="1">'[3]Mensual SOP'!#REF!</definedName>
    <definedName name="a" localSheetId="4">'[3]Mensual SOP'!#REF!</definedName>
    <definedName name="a" localSheetId="2">'[3]Mensual SOP'!#REF!</definedName>
    <definedName name="a" localSheetId="3">'[3]Mensual SOP'!#REF!</definedName>
    <definedName name="a">'[3]Mensual SOP'!#REF!</definedName>
    <definedName name="A_IMPRESIÓN_IM" localSheetId="0">'[1]PRO-MEN'!#REF!</definedName>
    <definedName name="A_IMPRESIÓN_IM" localSheetId="34">'[1]PRO-MEN'!#REF!</definedName>
    <definedName name="A_IMPRESIÓN_IM" localSheetId="6">'[1]PRO-MEN'!#REF!</definedName>
    <definedName name="A_IMPRESIÓN_IM" localSheetId="7">'[1]PRO-MEN'!#REF!</definedName>
    <definedName name="A_IMPRESIÓN_IM" localSheetId="5">'[1]PRO-MEN'!#REF!</definedName>
    <definedName name="A_IMPRESIÓN_IM" localSheetId="1">'[1]PRO-MEN'!#REF!</definedName>
    <definedName name="A_IMPRESIÓN_IM" localSheetId="4">'[1]PRO-MEN'!#REF!</definedName>
    <definedName name="A_IMPRESIÓN_IM" localSheetId="2">'[1]PRO-MEN'!#REF!</definedName>
    <definedName name="A_IMPRESIÓN_IM" localSheetId="3">'[1]PRO-MEN'!#REF!</definedName>
    <definedName name="A_IMPRESIÓN_IM">'[1]PRO-MEN'!#REF!</definedName>
    <definedName name="aa" localSheetId="0">#REF!</definedName>
    <definedName name="aa" localSheetId="34">#REF!</definedName>
    <definedName name="aa" localSheetId="6">#REF!</definedName>
    <definedName name="aa" localSheetId="7">#REF!</definedName>
    <definedName name="aa" localSheetId="5">#REF!</definedName>
    <definedName name="aa" localSheetId="1">#REF!</definedName>
    <definedName name="aa" localSheetId="4">#REF!</definedName>
    <definedName name="aa" localSheetId="2">#REF!</definedName>
    <definedName name="aa" localSheetId="3">#REF!</definedName>
    <definedName name="aa">#REF!</definedName>
    <definedName name="AAA" localSheetId="0">'[1]PRO-MEN'!#REF!</definedName>
    <definedName name="AAA" localSheetId="34">'[1]PRO-MEN'!#REF!</definedName>
    <definedName name="AAA" localSheetId="6">'[1]PRO-MEN'!#REF!</definedName>
    <definedName name="AAA" localSheetId="7">'[1]PRO-MEN'!#REF!</definedName>
    <definedName name="AAA" localSheetId="5">'[1]PRO-MEN'!#REF!</definedName>
    <definedName name="AAA" localSheetId="1">'[1]PRO-MEN'!#REF!</definedName>
    <definedName name="AAA" localSheetId="4">'[1]PRO-MEN'!#REF!</definedName>
    <definedName name="AAA" localSheetId="2">'[1]PRO-MEN'!#REF!</definedName>
    <definedName name="AAA" localSheetId="3">'[1]PRO-MEN'!#REF!</definedName>
    <definedName name="AAA">'[1]PRO-MEN'!#REF!</definedName>
    <definedName name="AAAA" localSheetId="0">'[3]Mensual SOP'!#REF!</definedName>
    <definedName name="AAAA" localSheetId="34">'[3]Mensual SOP'!#REF!</definedName>
    <definedName name="AAAA" localSheetId="6">'[3]Mensual SOP'!#REF!</definedName>
    <definedName name="AAAA" localSheetId="7">'[3]Mensual SOP'!#REF!</definedName>
    <definedName name="AAAA" localSheetId="5">'[3]Mensual SOP'!#REF!</definedName>
    <definedName name="AAAA" localSheetId="1">'[3]Mensual SOP'!#REF!</definedName>
    <definedName name="AAAA" localSheetId="4">'[3]Mensual SOP'!#REF!</definedName>
    <definedName name="AAAA" localSheetId="2">'[3]Mensual SOP'!#REF!</definedName>
    <definedName name="AAAA" localSheetId="3">'[3]Mensual SOP'!#REF!</definedName>
    <definedName name="AAAA">'[3]Mensual SOP'!#REF!</definedName>
    <definedName name="AND" localSheetId="0">'[1]PRO-MEN'!#REF!</definedName>
    <definedName name="AND" localSheetId="34">'[1]PRO-MEN'!#REF!</definedName>
    <definedName name="AND" localSheetId="6">'[1]PRO-MEN'!#REF!</definedName>
    <definedName name="AND" localSheetId="7">'[1]PRO-MEN'!#REF!</definedName>
    <definedName name="AND" localSheetId="5">'[1]PRO-MEN'!#REF!</definedName>
    <definedName name="AND" localSheetId="1">'[1]PRO-MEN'!#REF!</definedName>
    <definedName name="AND" localSheetId="4">'[1]PRO-MEN'!#REF!</definedName>
    <definedName name="AND" localSheetId="2">'[1]PRO-MEN'!#REF!</definedName>
    <definedName name="AND" localSheetId="3">'[1]PRO-MEN'!#REF!</definedName>
    <definedName name="AND">'[1]PRO-MEN'!#REF!</definedName>
    <definedName name="ANDR" localSheetId="0">'[4]Mensual SOP'!#REF!</definedName>
    <definedName name="ANDR" localSheetId="34">'[4]Mensual SOP'!#REF!</definedName>
    <definedName name="ANDR" localSheetId="6">'[4]Mensual SOP'!#REF!</definedName>
    <definedName name="ANDR" localSheetId="7">'[4]Mensual SOP'!#REF!</definedName>
    <definedName name="ANDR" localSheetId="5">'[4]Mensual SOP'!#REF!</definedName>
    <definedName name="ANDR" localSheetId="1">'[4]Mensual SOP'!#REF!</definedName>
    <definedName name="ANDR" localSheetId="4">'[4]Mensual SOP'!#REF!</definedName>
    <definedName name="ANDR" localSheetId="2">'[4]Mensual SOP'!#REF!</definedName>
    <definedName name="ANDR" localSheetId="3">'[4]Mensual SOP'!#REF!</definedName>
    <definedName name="ANDR">'[4]Mensual SOP'!#REF!</definedName>
    <definedName name="_xlnm.Print_Area" localSheetId="9">'CSS-REND'!$A$1:$AA$50</definedName>
    <definedName name="_xlnm.Print_Area" localSheetId="0">'CSS-RENDIMIENTO % ju22'!$B$2:$AB$56</definedName>
    <definedName name="_xlnm.Print_Area" localSheetId="34">'CSS-SADLDO'!$B$4:$AF$47</definedName>
    <definedName name="_xlnm.Print_Area" localSheetId="8">'CSS-SALDO ju22'!$B$2:$P$58</definedName>
    <definedName name="_xlnm.Print_Area" localSheetId="6">'ENF Y MATERNIDAD'!$B$2:$AL$49</definedName>
    <definedName name="_xlnm.Print_Area" localSheetId="7">'G. ADMINISTRATIVA'!$B$2:$AL$49</definedName>
    <definedName name="_xlnm.Print_Area" localSheetId="5">'R. PROFESIONALES'!$B$2:$AL$48</definedName>
    <definedName name="_xlnm.Print_Area" localSheetId="1">RESUMEN!$A$2:$AJ$48</definedName>
    <definedName name="_xlnm.Print_Area" localSheetId="4">'SEGUROS COLECTIVOS'!$A$2:$AJ$48</definedName>
    <definedName name="_xlnm.Print_Area" localSheetId="2">'SUBS EXCLUSIVO'!$B$2:$AL$48</definedName>
    <definedName name="_xlnm.Print_Area" localSheetId="3">'SUBSISTEMA MIXTO'!$A$2:$AJ$48</definedName>
    <definedName name="bb" localSheetId="0">'[3]Mensual SOP'!#REF!</definedName>
    <definedName name="bb" localSheetId="34">'[3]Mensual SOP'!#REF!</definedName>
    <definedName name="bb" localSheetId="6">'[3]Mensual SOP'!#REF!</definedName>
    <definedName name="bb" localSheetId="7">'[3]Mensual SOP'!#REF!</definedName>
    <definedName name="bb" localSheetId="5">'[3]Mensual SOP'!#REF!</definedName>
    <definedName name="bb" localSheetId="1">'[3]Mensual SOP'!#REF!</definedName>
    <definedName name="bb" localSheetId="4">'[3]Mensual SOP'!#REF!</definedName>
    <definedName name="bb" localSheetId="2">'[3]Mensual SOP'!#REF!</definedName>
    <definedName name="bb" localSheetId="3">'[3]Mensual SOP'!#REF!</definedName>
    <definedName name="bb">'[3]Mensual SOP'!#REF!</definedName>
    <definedName name="bbb" localSheetId="0">'[1]PRO-MEN'!#REF!</definedName>
    <definedName name="bbb" localSheetId="34">'[1]PRO-MEN'!#REF!</definedName>
    <definedName name="bbb" localSheetId="6">'[1]PRO-MEN'!#REF!</definedName>
    <definedName name="bbb" localSheetId="7">'[1]PRO-MEN'!#REF!</definedName>
    <definedName name="bbb" localSheetId="5">'[1]PRO-MEN'!#REF!</definedName>
    <definedName name="bbb" localSheetId="1">'[1]PRO-MEN'!#REF!</definedName>
    <definedName name="bbb" localSheetId="4">'[1]PRO-MEN'!#REF!</definedName>
    <definedName name="bbb" localSheetId="2">'[1]PRO-MEN'!#REF!</definedName>
    <definedName name="bbb" localSheetId="3">'[1]PRO-MEN'!#REF!</definedName>
    <definedName name="bbb">'[1]PRO-MEN'!#REF!</definedName>
    <definedName name="ccc" localSheetId="0">'[3]Mensual SOP'!#REF!</definedName>
    <definedName name="ccc" localSheetId="34">'[3]Mensual SOP'!#REF!</definedName>
    <definedName name="ccc" localSheetId="6">'[3]Mensual SOP'!#REF!</definedName>
    <definedName name="ccc" localSheetId="7">'[3]Mensual SOP'!#REF!</definedName>
    <definedName name="ccc" localSheetId="5">'[3]Mensual SOP'!#REF!</definedName>
    <definedName name="ccc" localSheetId="1">'[3]Mensual SOP'!#REF!</definedName>
    <definedName name="ccc" localSheetId="4">'[3]Mensual SOP'!#REF!</definedName>
    <definedName name="ccc" localSheetId="2">'[3]Mensual SOP'!#REF!</definedName>
    <definedName name="ccc" localSheetId="3">'[3]Mensual SOP'!#REF!</definedName>
    <definedName name="ccc">'[3]Mensual SOP'!#REF!</definedName>
    <definedName name="D" localSheetId="0">'[4]Mensual SOP'!#REF!</definedName>
    <definedName name="D" localSheetId="34">'[4]Mensual SOP'!#REF!</definedName>
    <definedName name="D" localSheetId="6">'[4]Mensual SOP'!#REF!</definedName>
    <definedName name="D" localSheetId="7">'[4]Mensual SOP'!#REF!</definedName>
    <definedName name="D" localSheetId="5">'[4]Mensual SOP'!#REF!</definedName>
    <definedName name="D" localSheetId="1">'[4]Mensual SOP'!#REF!</definedName>
    <definedName name="D" localSheetId="4">'[4]Mensual SOP'!#REF!</definedName>
    <definedName name="D" localSheetId="2">'[4]Mensual SOP'!#REF!</definedName>
    <definedName name="D" localSheetId="3">'[4]Mensual SOP'!#REF!</definedName>
    <definedName name="D">'[4]Mensual SOP'!#REF!</definedName>
    <definedName name="daraaf" localSheetId="0">'[3]Mensual SOP'!#REF!</definedName>
    <definedName name="daraaf" localSheetId="34">'[3]Mensual SOP'!#REF!</definedName>
    <definedName name="daraaf" localSheetId="6">'[3]Mensual SOP'!#REF!</definedName>
    <definedName name="daraaf" localSheetId="7">'[3]Mensual SOP'!#REF!</definedName>
    <definedName name="daraaf" localSheetId="5">'[3]Mensual SOP'!#REF!</definedName>
    <definedName name="daraaf" localSheetId="1">'[3]Mensual SOP'!#REF!</definedName>
    <definedName name="daraaf" localSheetId="4">'[3]Mensual SOP'!#REF!</definedName>
    <definedName name="daraaf" localSheetId="2">'[3]Mensual SOP'!#REF!</definedName>
    <definedName name="daraaf" localSheetId="3">'[3]Mensual SOP'!#REF!</definedName>
    <definedName name="daraaf">'[3]Mensual SOP'!#REF!</definedName>
    <definedName name="DD" localSheetId="0">#REF!</definedName>
    <definedName name="DD" localSheetId="34">#REF!</definedName>
    <definedName name="DD" localSheetId="6">#REF!</definedName>
    <definedName name="DD" localSheetId="7">#REF!</definedName>
    <definedName name="DD" localSheetId="5">#REF!</definedName>
    <definedName name="DD" localSheetId="1">#REF!</definedName>
    <definedName name="DD" localSheetId="4">#REF!</definedName>
    <definedName name="DD" localSheetId="2">#REF!</definedName>
    <definedName name="DD" localSheetId="3">#REF!</definedName>
    <definedName name="DD">#REF!</definedName>
    <definedName name="Dr._Alex_De_Gracia" localSheetId="0">'[3]Mensual SOP'!#REF!</definedName>
    <definedName name="Dr._Alex_De_Gracia" localSheetId="34">'[3]Mensual SOP'!#REF!</definedName>
    <definedName name="Dr._Alex_De_Gracia" localSheetId="6">'[3]Mensual SOP'!#REF!</definedName>
    <definedName name="Dr._Alex_De_Gracia" localSheetId="7">'[3]Mensual SOP'!#REF!</definedName>
    <definedName name="Dr._Alex_De_Gracia" localSheetId="5">'[3]Mensual SOP'!#REF!</definedName>
    <definedName name="Dr._Alex_De_Gracia" localSheetId="1">'[3]Mensual SOP'!#REF!</definedName>
    <definedName name="Dr._Alex_De_Gracia" localSheetId="4">'[3]Mensual SOP'!#REF!</definedName>
    <definedName name="Dr._Alex_De_Gracia" localSheetId="2">'[3]Mensual SOP'!#REF!</definedName>
    <definedName name="Dr._Alex_De_Gracia" localSheetId="3">'[3]Mensual SOP'!#REF!</definedName>
    <definedName name="Dr._Alex_De_Gracia">'[3]Mensual SOP'!#REF!</definedName>
    <definedName name="Dr._Antonio_Martin" localSheetId="0">'[3]Mensual SOP'!#REF!</definedName>
    <definedName name="Dr._Antonio_Martin" localSheetId="34">'[3]Mensual SOP'!#REF!</definedName>
    <definedName name="Dr._Antonio_Martin" localSheetId="6">'[3]Mensual SOP'!#REF!</definedName>
    <definedName name="Dr._Antonio_Martin" localSheetId="7">'[3]Mensual SOP'!#REF!</definedName>
    <definedName name="Dr._Antonio_Martin" localSheetId="5">'[3]Mensual SOP'!#REF!</definedName>
    <definedName name="Dr._Antonio_Martin" localSheetId="1">'[3]Mensual SOP'!#REF!</definedName>
    <definedName name="Dr._Antonio_Martin" localSheetId="4">'[3]Mensual SOP'!#REF!</definedName>
    <definedName name="Dr._Antonio_Martin" localSheetId="2">'[3]Mensual SOP'!#REF!</definedName>
    <definedName name="Dr._Antonio_Martin" localSheetId="3">'[3]Mensual SOP'!#REF!</definedName>
    <definedName name="Dr._Antonio_Martin">'[3]Mensual SOP'!#REF!</definedName>
    <definedName name="Dr._Baltazar_Monteser" localSheetId="0">'[3]Mensual SOP'!#REF!</definedName>
    <definedName name="Dr._Baltazar_Monteser" localSheetId="34">'[3]Mensual SOP'!#REF!</definedName>
    <definedName name="Dr._Baltazar_Monteser" localSheetId="6">'[3]Mensual SOP'!#REF!</definedName>
    <definedName name="Dr._Baltazar_Monteser" localSheetId="7">'[3]Mensual SOP'!#REF!</definedName>
    <definedName name="Dr._Baltazar_Monteser" localSheetId="5">'[3]Mensual SOP'!#REF!</definedName>
    <definedName name="Dr._Baltazar_Monteser" localSheetId="1">'[3]Mensual SOP'!#REF!</definedName>
    <definedName name="Dr._Baltazar_Monteser" localSheetId="4">'[3]Mensual SOP'!#REF!</definedName>
    <definedName name="Dr._Baltazar_Monteser" localSheetId="2">'[3]Mensual SOP'!#REF!</definedName>
    <definedName name="Dr._Baltazar_Monteser" localSheetId="3">'[3]Mensual SOP'!#REF!</definedName>
    <definedName name="Dr._Baltazar_Monteser">'[3]Mensual SOP'!#REF!</definedName>
    <definedName name="Dr._Benigno_González" localSheetId="0">'[3]Mensual SOP'!#REF!</definedName>
    <definedName name="Dr._Benigno_González" localSheetId="34">'[3]Mensual SOP'!#REF!</definedName>
    <definedName name="Dr._Benigno_González" localSheetId="6">'[3]Mensual SOP'!#REF!</definedName>
    <definedName name="Dr._Benigno_González" localSheetId="7">'[3]Mensual SOP'!#REF!</definedName>
    <definedName name="Dr._Benigno_González" localSheetId="5">'[3]Mensual SOP'!#REF!</definedName>
    <definedName name="Dr._Benigno_González" localSheetId="1">'[3]Mensual SOP'!#REF!</definedName>
    <definedName name="Dr._Benigno_González" localSheetId="4">'[3]Mensual SOP'!#REF!</definedName>
    <definedName name="Dr._Benigno_González" localSheetId="2">'[3]Mensual SOP'!#REF!</definedName>
    <definedName name="Dr._Benigno_González" localSheetId="3">'[3]Mensual SOP'!#REF!</definedName>
    <definedName name="Dr._Benigno_González">'[3]Mensual SOP'!#REF!</definedName>
    <definedName name="Dr._Bolívar_Saldaña" localSheetId="0">'[3]Mensual SOP'!#REF!</definedName>
    <definedName name="Dr._Bolívar_Saldaña" localSheetId="34">'[3]Mensual SOP'!#REF!</definedName>
    <definedName name="Dr._Bolívar_Saldaña" localSheetId="6">'[3]Mensual SOP'!#REF!</definedName>
    <definedName name="Dr._Bolívar_Saldaña" localSheetId="7">'[3]Mensual SOP'!#REF!</definedName>
    <definedName name="Dr._Bolívar_Saldaña" localSheetId="5">'[3]Mensual SOP'!#REF!</definedName>
    <definedName name="Dr._Bolívar_Saldaña" localSheetId="1">'[3]Mensual SOP'!#REF!</definedName>
    <definedName name="Dr._Bolívar_Saldaña" localSheetId="4">'[3]Mensual SOP'!#REF!</definedName>
    <definedName name="Dr._Bolívar_Saldaña" localSheetId="2">'[3]Mensual SOP'!#REF!</definedName>
    <definedName name="Dr._Bolívar_Saldaña" localSheetId="3">'[3]Mensual SOP'!#REF!</definedName>
    <definedName name="Dr._Bolívar_Saldaña">'[3]Mensual SOP'!#REF!</definedName>
    <definedName name="Dr._Carlos_Díaz" localSheetId="0">'[3]Mensual SOP'!#REF!</definedName>
    <definedName name="Dr._Carlos_Díaz" localSheetId="34">'[3]Mensual SOP'!#REF!</definedName>
    <definedName name="Dr._Carlos_Díaz" localSheetId="6">'[3]Mensual SOP'!#REF!</definedName>
    <definedName name="Dr._Carlos_Díaz" localSheetId="7">'[3]Mensual SOP'!#REF!</definedName>
    <definedName name="Dr._Carlos_Díaz" localSheetId="5">'[3]Mensual SOP'!#REF!</definedName>
    <definedName name="Dr._Carlos_Díaz" localSheetId="1">'[3]Mensual SOP'!#REF!</definedName>
    <definedName name="Dr._Carlos_Díaz" localSheetId="4">'[3]Mensual SOP'!#REF!</definedName>
    <definedName name="Dr._Carlos_Díaz" localSheetId="2">'[3]Mensual SOP'!#REF!</definedName>
    <definedName name="Dr._Carlos_Díaz" localSheetId="3">'[3]Mensual SOP'!#REF!</definedName>
    <definedName name="Dr._Carlos_Díaz">'[3]Mensual SOP'!#REF!</definedName>
    <definedName name="Dr._Daniel_Mendoza" localSheetId="0">'[3]Mensual SOP'!#REF!</definedName>
    <definedName name="Dr._Daniel_Mendoza" localSheetId="34">'[3]Mensual SOP'!#REF!</definedName>
    <definedName name="Dr._Daniel_Mendoza" localSheetId="6">'[3]Mensual SOP'!#REF!</definedName>
    <definedName name="Dr._Daniel_Mendoza" localSheetId="7">'[3]Mensual SOP'!#REF!</definedName>
    <definedName name="Dr._Daniel_Mendoza" localSheetId="5">'[3]Mensual SOP'!#REF!</definedName>
    <definedName name="Dr._Daniel_Mendoza" localSheetId="1">'[3]Mensual SOP'!#REF!</definedName>
    <definedName name="Dr._Daniel_Mendoza" localSheetId="4">'[3]Mensual SOP'!#REF!</definedName>
    <definedName name="Dr._Daniel_Mendoza" localSheetId="2">'[3]Mensual SOP'!#REF!</definedName>
    <definedName name="Dr._Daniel_Mendoza" localSheetId="3">'[3]Mensual SOP'!#REF!</definedName>
    <definedName name="Dr._Daniel_Mendoza">'[3]Mensual SOP'!#REF!</definedName>
    <definedName name="Dr._Eduardo_Tejera" localSheetId="0">'[3]Mensual SOP'!#REF!</definedName>
    <definedName name="Dr._Eduardo_Tejera" localSheetId="34">'[3]Mensual SOP'!#REF!</definedName>
    <definedName name="Dr._Eduardo_Tejera" localSheetId="6">'[3]Mensual SOP'!#REF!</definedName>
    <definedName name="Dr._Eduardo_Tejera" localSheetId="7">'[3]Mensual SOP'!#REF!</definedName>
    <definedName name="Dr._Eduardo_Tejera" localSheetId="5">'[3]Mensual SOP'!#REF!</definedName>
    <definedName name="Dr._Eduardo_Tejera" localSheetId="1">'[3]Mensual SOP'!#REF!</definedName>
    <definedName name="Dr._Eduardo_Tejera" localSheetId="4">'[3]Mensual SOP'!#REF!</definedName>
    <definedName name="Dr._Eduardo_Tejera" localSheetId="2">'[3]Mensual SOP'!#REF!</definedName>
    <definedName name="Dr._Eduardo_Tejera" localSheetId="3">'[3]Mensual SOP'!#REF!</definedName>
    <definedName name="Dr._Eduardo_Tejera">'[3]Mensual SOP'!#REF!</definedName>
    <definedName name="Dr._Federico_Chin" localSheetId="0">'[3]Mensual SOP'!#REF!</definedName>
    <definedName name="Dr._Federico_Chin" localSheetId="34">'[3]Mensual SOP'!#REF!</definedName>
    <definedName name="Dr._Federico_Chin" localSheetId="6">'[3]Mensual SOP'!#REF!</definedName>
    <definedName name="Dr._Federico_Chin" localSheetId="7">'[3]Mensual SOP'!#REF!</definedName>
    <definedName name="Dr._Federico_Chin" localSheetId="5">'[3]Mensual SOP'!#REF!</definedName>
    <definedName name="Dr._Federico_Chin" localSheetId="1">'[3]Mensual SOP'!#REF!</definedName>
    <definedName name="Dr._Federico_Chin" localSheetId="4">'[3]Mensual SOP'!#REF!</definedName>
    <definedName name="Dr._Federico_Chin" localSheetId="2">'[3]Mensual SOP'!#REF!</definedName>
    <definedName name="Dr._Federico_Chin" localSheetId="3">'[3]Mensual SOP'!#REF!</definedName>
    <definedName name="Dr._Federico_Chin">'[3]Mensual SOP'!#REF!</definedName>
    <definedName name="Dr._Germán_Tejera" localSheetId="0">'[3]Mensual SOP'!#REF!</definedName>
    <definedName name="Dr._Germán_Tejera" localSheetId="34">'[3]Mensual SOP'!#REF!</definedName>
    <definedName name="Dr._Germán_Tejera" localSheetId="6">'[3]Mensual SOP'!#REF!</definedName>
    <definedName name="Dr._Germán_Tejera" localSheetId="7">'[3]Mensual SOP'!#REF!</definedName>
    <definedName name="Dr._Germán_Tejera" localSheetId="5">'[3]Mensual SOP'!#REF!</definedName>
    <definedName name="Dr._Germán_Tejera" localSheetId="1">'[3]Mensual SOP'!#REF!</definedName>
    <definedName name="Dr._Germán_Tejera" localSheetId="4">'[3]Mensual SOP'!#REF!</definedName>
    <definedName name="Dr._Germán_Tejera" localSheetId="2">'[3]Mensual SOP'!#REF!</definedName>
    <definedName name="Dr._Germán_Tejera" localSheetId="3">'[3]Mensual SOP'!#REF!</definedName>
    <definedName name="Dr._Germán_Tejera">'[3]Mensual SOP'!#REF!</definedName>
    <definedName name="Dr._Henry_Villarreal" localSheetId="0">'[3]Mensual SOP'!#REF!</definedName>
    <definedName name="Dr._Henry_Villarreal" localSheetId="34">'[3]Mensual SOP'!#REF!</definedName>
    <definedName name="Dr._Henry_Villarreal" localSheetId="6">'[3]Mensual SOP'!#REF!</definedName>
    <definedName name="Dr._Henry_Villarreal" localSheetId="7">'[3]Mensual SOP'!#REF!</definedName>
    <definedName name="Dr._Henry_Villarreal" localSheetId="5">'[3]Mensual SOP'!#REF!</definedName>
    <definedName name="Dr._Henry_Villarreal" localSheetId="1">'[3]Mensual SOP'!#REF!</definedName>
    <definedName name="Dr._Henry_Villarreal" localSheetId="4">'[3]Mensual SOP'!#REF!</definedName>
    <definedName name="Dr._Henry_Villarreal" localSheetId="2">'[3]Mensual SOP'!#REF!</definedName>
    <definedName name="Dr._Henry_Villarreal" localSheetId="3">'[3]Mensual SOP'!#REF!</definedName>
    <definedName name="Dr._Henry_Villarreal">'[3]Mensual SOP'!#REF!</definedName>
    <definedName name="Dr._José_Torres" localSheetId="0">'[3]Mensual SOP'!#REF!</definedName>
    <definedName name="Dr._José_Torres" localSheetId="34">'[3]Mensual SOP'!#REF!</definedName>
    <definedName name="Dr._José_Torres" localSheetId="6">'[3]Mensual SOP'!#REF!</definedName>
    <definedName name="Dr._José_Torres" localSheetId="7">'[3]Mensual SOP'!#REF!</definedName>
    <definedName name="Dr._José_Torres" localSheetId="5">'[3]Mensual SOP'!#REF!</definedName>
    <definedName name="Dr._José_Torres" localSheetId="1">'[3]Mensual SOP'!#REF!</definedName>
    <definedName name="Dr._José_Torres" localSheetId="4">'[3]Mensual SOP'!#REF!</definedName>
    <definedName name="Dr._José_Torres" localSheetId="2">'[3]Mensual SOP'!#REF!</definedName>
    <definedName name="Dr._José_Torres" localSheetId="3">'[3]Mensual SOP'!#REF!</definedName>
    <definedName name="Dr._José_Torres">'[3]Mensual SOP'!#REF!</definedName>
    <definedName name="Dr._Juan_Areas" localSheetId="0">'[3]Mensual SOP'!#REF!</definedName>
    <definedName name="Dr._Juan_Areas" localSheetId="34">'[3]Mensual SOP'!#REF!</definedName>
    <definedName name="Dr._Juan_Areas" localSheetId="6">'[3]Mensual SOP'!#REF!</definedName>
    <definedName name="Dr._Juan_Areas" localSheetId="7">'[3]Mensual SOP'!#REF!</definedName>
    <definedName name="Dr._Juan_Areas" localSheetId="5">'[3]Mensual SOP'!#REF!</definedName>
    <definedName name="Dr._Juan_Areas" localSheetId="1">'[3]Mensual SOP'!#REF!</definedName>
    <definedName name="Dr._Juan_Areas" localSheetId="4">'[3]Mensual SOP'!#REF!</definedName>
    <definedName name="Dr._Juan_Areas" localSheetId="2">'[3]Mensual SOP'!#REF!</definedName>
    <definedName name="Dr._Juan_Areas" localSheetId="3">'[3]Mensual SOP'!#REF!</definedName>
    <definedName name="Dr._Juan_Areas">'[3]Mensual SOP'!#REF!</definedName>
    <definedName name="Dr._Juvenal_Martínez" localSheetId="0">'[3]Mensual SOP'!#REF!</definedName>
    <definedName name="Dr._Juvenal_Martínez" localSheetId="34">'[3]Mensual SOP'!#REF!</definedName>
    <definedName name="Dr._Juvenal_Martínez" localSheetId="6">'[3]Mensual SOP'!#REF!</definedName>
    <definedName name="Dr._Juvenal_Martínez" localSheetId="7">'[3]Mensual SOP'!#REF!</definedName>
    <definedName name="Dr._Juvenal_Martínez" localSheetId="5">'[3]Mensual SOP'!#REF!</definedName>
    <definedName name="Dr._Juvenal_Martínez" localSheetId="1">'[3]Mensual SOP'!#REF!</definedName>
    <definedName name="Dr._Juvenal_Martínez" localSheetId="4">'[3]Mensual SOP'!#REF!</definedName>
    <definedName name="Dr._Juvenal_Martínez" localSheetId="2">'[3]Mensual SOP'!#REF!</definedName>
    <definedName name="Dr._Juvenal_Martínez" localSheetId="3">'[3]Mensual SOP'!#REF!</definedName>
    <definedName name="Dr._Juvenal_Martínez">'[3]Mensual SOP'!#REF!</definedName>
    <definedName name="Dr._Lorenzo_Callender" localSheetId="0">'[3]Mensual SOP'!#REF!</definedName>
    <definedName name="Dr._Lorenzo_Callender" localSheetId="34">'[3]Mensual SOP'!#REF!</definedName>
    <definedName name="Dr._Lorenzo_Callender" localSheetId="6">'[3]Mensual SOP'!#REF!</definedName>
    <definedName name="Dr._Lorenzo_Callender" localSheetId="7">'[3]Mensual SOP'!#REF!</definedName>
    <definedName name="Dr._Lorenzo_Callender" localSheetId="5">'[3]Mensual SOP'!#REF!</definedName>
    <definedName name="Dr._Lorenzo_Callender" localSheetId="1">'[3]Mensual SOP'!#REF!</definedName>
    <definedName name="Dr._Lorenzo_Callender" localSheetId="4">'[3]Mensual SOP'!#REF!</definedName>
    <definedName name="Dr._Lorenzo_Callender" localSheetId="2">'[3]Mensual SOP'!#REF!</definedName>
    <definedName name="Dr._Lorenzo_Callender" localSheetId="3">'[3]Mensual SOP'!#REF!</definedName>
    <definedName name="Dr._Lorenzo_Callender">'[3]Mensual SOP'!#REF!</definedName>
    <definedName name="Dr._Noriel_Castillo" localSheetId="0">'[3]Mensual SOP'!#REF!</definedName>
    <definedName name="Dr._Noriel_Castillo" localSheetId="34">'[3]Mensual SOP'!#REF!</definedName>
    <definedName name="Dr._Noriel_Castillo" localSheetId="6">'[3]Mensual SOP'!#REF!</definedName>
    <definedName name="Dr._Noriel_Castillo" localSheetId="7">'[3]Mensual SOP'!#REF!</definedName>
    <definedName name="Dr._Noriel_Castillo" localSheetId="5">'[3]Mensual SOP'!#REF!</definedName>
    <definedName name="Dr._Noriel_Castillo" localSheetId="1">'[3]Mensual SOP'!#REF!</definedName>
    <definedName name="Dr._Noriel_Castillo" localSheetId="4">'[3]Mensual SOP'!#REF!</definedName>
    <definedName name="Dr._Noriel_Castillo" localSheetId="2">'[3]Mensual SOP'!#REF!</definedName>
    <definedName name="Dr._Noriel_Castillo" localSheetId="3">'[3]Mensual SOP'!#REF!</definedName>
    <definedName name="Dr._Noriel_Castillo">'[3]Mensual SOP'!#REF!</definedName>
    <definedName name="Dr._Roberto_Pérez" localSheetId="0">'[3]Mensual SOP'!#REF!</definedName>
    <definedName name="Dr._Roberto_Pérez" localSheetId="34">'[3]Mensual SOP'!#REF!</definedName>
    <definedName name="Dr._Roberto_Pérez" localSheetId="6">'[3]Mensual SOP'!#REF!</definedName>
    <definedName name="Dr._Roberto_Pérez" localSheetId="7">'[3]Mensual SOP'!#REF!</definedName>
    <definedName name="Dr._Roberto_Pérez" localSheetId="5">'[3]Mensual SOP'!#REF!</definedName>
    <definedName name="Dr._Roberto_Pérez" localSheetId="1">'[3]Mensual SOP'!#REF!</definedName>
    <definedName name="Dr._Roberto_Pérez" localSheetId="4">'[3]Mensual SOP'!#REF!</definedName>
    <definedName name="Dr._Roberto_Pérez" localSheetId="2">'[3]Mensual SOP'!#REF!</definedName>
    <definedName name="Dr._Roberto_Pérez" localSheetId="3">'[3]Mensual SOP'!#REF!</definedName>
    <definedName name="Dr._Roberto_Pérez">'[3]Mensual SOP'!#REF!</definedName>
    <definedName name="Dr._Simeón_González" localSheetId="0">'[3]Mensual SOP'!#REF!</definedName>
    <definedName name="Dr._Simeón_González" localSheetId="34">'[3]Mensual SOP'!#REF!</definedName>
    <definedName name="Dr._Simeón_González" localSheetId="6">'[3]Mensual SOP'!#REF!</definedName>
    <definedName name="Dr._Simeón_González" localSheetId="7">'[3]Mensual SOP'!#REF!</definedName>
    <definedName name="Dr._Simeón_González" localSheetId="5">'[3]Mensual SOP'!#REF!</definedName>
    <definedName name="Dr._Simeón_González" localSheetId="1">'[3]Mensual SOP'!#REF!</definedName>
    <definedName name="Dr._Simeón_González" localSheetId="4">'[3]Mensual SOP'!#REF!</definedName>
    <definedName name="Dr._Simeón_González" localSheetId="2">'[3]Mensual SOP'!#REF!</definedName>
    <definedName name="Dr._Simeón_González" localSheetId="3">'[3]Mensual SOP'!#REF!</definedName>
    <definedName name="Dr._Simeón_González">'[3]Mensual SOP'!#REF!</definedName>
    <definedName name="DR.VALLARINO" localSheetId="0">'[5]Mensual SOP'!#REF!</definedName>
    <definedName name="DR.VALLARINO" localSheetId="34">'[5]Mensual SOP'!#REF!</definedName>
    <definedName name="DR.VALLARINO" localSheetId="6">'[5]Mensual SOP'!#REF!</definedName>
    <definedName name="DR.VALLARINO" localSheetId="7">'[5]Mensual SOP'!#REF!</definedName>
    <definedName name="DR.VALLARINO" localSheetId="5">'[5]Mensual SOP'!#REF!</definedName>
    <definedName name="DR.VALLARINO" localSheetId="1">'[5]Mensual SOP'!#REF!</definedName>
    <definedName name="DR.VALLARINO" localSheetId="4">'[5]Mensual SOP'!#REF!</definedName>
    <definedName name="DR.VALLARINO" localSheetId="2">'[5]Mensual SOP'!#REF!</definedName>
    <definedName name="DR.VALLARINO" localSheetId="3">'[5]Mensual SOP'!#REF!</definedName>
    <definedName name="DR.VALLARINO">'[5]Mensual SOP'!#REF!</definedName>
    <definedName name="Dra._Carmen_Fernández" localSheetId="0">'[3]Mensual SOP'!#REF!</definedName>
    <definedName name="Dra._Carmen_Fernández" localSheetId="34">'[3]Mensual SOP'!#REF!</definedName>
    <definedName name="Dra._Carmen_Fernández" localSheetId="6">'[3]Mensual SOP'!#REF!</definedName>
    <definedName name="Dra._Carmen_Fernández" localSheetId="7">'[3]Mensual SOP'!#REF!</definedName>
    <definedName name="Dra._Carmen_Fernández" localSheetId="5">'[3]Mensual SOP'!#REF!</definedName>
    <definedName name="Dra._Carmen_Fernández" localSheetId="1">'[3]Mensual SOP'!#REF!</definedName>
    <definedName name="Dra._Carmen_Fernández" localSheetId="4">'[3]Mensual SOP'!#REF!</definedName>
    <definedName name="Dra._Carmen_Fernández" localSheetId="2">'[3]Mensual SOP'!#REF!</definedName>
    <definedName name="Dra._Carmen_Fernández" localSheetId="3">'[3]Mensual SOP'!#REF!</definedName>
    <definedName name="Dra._Carmen_Fernández">'[3]Mensual SOP'!#REF!</definedName>
    <definedName name="Dra._Cristobalina_Campos" localSheetId="0">'[3]Mensual SOP'!#REF!</definedName>
    <definedName name="Dra._Cristobalina_Campos" localSheetId="34">'[3]Mensual SOP'!#REF!</definedName>
    <definedName name="Dra._Cristobalina_Campos" localSheetId="6">'[3]Mensual SOP'!#REF!</definedName>
    <definedName name="Dra._Cristobalina_Campos" localSheetId="7">'[3]Mensual SOP'!#REF!</definedName>
    <definedName name="Dra._Cristobalina_Campos" localSheetId="5">'[3]Mensual SOP'!#REF!</definedName>
    <definedName name="Dra._Cristobalina_Campos" localSheetId="1">'[3]Mensual SOP'!#REF!</definedName>
    <definedName name="Dra._Cristobalina_Campos" localSheetId="4">'[3]Mensual SOP'!#REF!</definedName>
    <definedName name="Dra._Cristobalina_Campos" localSheetId="2">'[3]Mensual SOP'!#REF!</definedName>
    <definedName name="Dra._Cristobalina_Campos" localSheetId="3">'[3]Mensual SOP'!#REF!</definedName>
    <definedName name="Dra._Cristobalina_Campos">'[3]Mensual SOP'!#REF!</definedName>
    <definedName name="Dra._Dionisia_Marín" localSheetId="0">'[3]Mensual SOP'!#REF!</definedName>
    <definedName name="Dra._Dionisia_Marín" localSheetId="34">'[3]Mensual SOP'!#REF!</definedName>
    <definedName name="Dra._Dionisia_Marín" localSheetId="6">'[3]Mensual SOP'!#REF!</definedName>
    <definedName name="Dra._Dionisia_Marín" localSheetId="7">'[3]Mensual SOP'!#REF!</definedName>
    <definedName name="Dra._Dionisia_Marín" localSheetId="5">'[3]Mensual SOP'!#REF!</definedName>
    <definedName name="Dra._Dionisia_Marín" localSheetId="1">'[3]Mensual SOP'!#REF!</definedName>
    <definedName name="Dra._Dionisia_Marín" localSheetId="4">'[3]Mensual SOP'!#REF!</definedName>
    <definedName name="Dra._Dionisia_Marín" localSheetId="2">'[3]Mensual SOP'!#REF!</definedName>
    <definedName name="Dra._Dionisia_Marín" localSheetId="3">'[3]Mensual SOP'!#REF!</definedName>
    <definedName name="Dra._Dionisia_Marín">'[3]Mensual SOP'!#REF!</definedName>
    <definedName name="Dra._Gloria_Papa" localSheetId="0">'[3]Mensual SOP'!#REF!</definedName>
    <definedName name="Dra._Gloria_Papa" localSheetId="34">'[3]Mensual SOP'!#REF!</definedName>
    <definedName name="Dra._Gloria_Papa" localSheetId="6">'[3]Mensual SOP'!#REF!</definedName>
    <definedName name="Dra._Gloria_Papa" localSheetId="7">'[3]Mensual SOP'!#REF!</definedName>
    <definedName name="Dra._Gloria_Papa" localSheetId="5">'[3]Mensual SOP'!#REF!</definedName>
    <definedName name="Dra._Gloria_Papa" localSheetId="1">'[3]Mensual SOP'!#REF!</definedName>
    <definedName name="Dra._Gloria_Papa" localSheetId="4">'[3]Mensual SOP'!#REF!</definedName>
    <definedName name="Dra._Gloria_Papa" localSheetId="2">'[3]Mensual SOP'!#REF!</definedName>
    <definedName name="Dra._Gloria_Papa" localSheetId="3">'[3]Mensual SOP'!#REF!</definedName>
    <definedName name="Dra._Gloria_Papa">'[3]Mensual SOP'!#REF!</definedName>
    <definedName name="Dra._Indira_Tinker" localSheetId="0">'[3]Mensual SOP'!#REF!</definedName>
    <definedName name="Dra._Indira_Tinker" localSheetId="34">'[3]Mensual SOP'!#REF!</definedName>
    <definedName name="Dra._Indira_Tinker" localSheetId="6">'[3]Mensual SOP'!#REF!</definedName>
    <definedName name="Dra._Indira_Tinker" localSheetId="7">'[3]Mensual SOP'!#REF!</definedName>
    <definedName name="Dra._Indira_Tinker" localSheetId="5">'[3]Mensual SOP'!#REF!</definedName>
    <definedName name="Dra._Indira_Tinker" localSheetId="1">'[3]Mensual SOP'!#REF!</definedName>
    <definedName name="Dra._Indira_Tinker" localSheetId="4">'[3]Mensual SOP'!#REF!</definedName>
    <definedName name="Dra._Indira_Tinker" localSheetId="2">'[3]Mensual SOP'!#REF!</definedName>
    <definedName name="Dra._Indira_Tinker" localSheetId="3">'[3]Mensual SOP'!#REF!</definedName>
    <definedName name="Dra._Indira_Tinker">'[3]Mensual SOP'!#REF!</definedName>
    <definedName name="Dra._María_Quezada" localSheetId="0">'[3]Mensual SOP'!#REF!</definedName>
    <definedName name="Dra._María_Quezada" localSheetId="34">'[3]Mensual SOP'!#REF!</definedName>
    <definedName name="Dra._María_Quezada" localSheetId="6">'[3]Mensual SOP'!#REF!</definedName>
    <definedName name="Dra._María_Quezada" localSheetId="7">'[3]Mensual SOP'!#REF!</definedName>
    <definedName name="Dra._María_Quezada" localSheetId="5">'[3]Mensual SOP'!#REF!</definedName>
    <definedName name="Dra._María_Quezada" localSheetId="1">'[3]Mensual SOP'!#REF!</definedName>
    <definedName name="Dra._María_Quezada" localSheetId="4">'[3]Mensual SOP'!#REF!</definedName>
    <definedName name="Dra._María_Quezada" localSheetId="2">'[3]Mensual SOP'!#REF!</definedName>
    <definedName name="Dra._María_Quezada" localSheetId="3">'[3]Mensual SOP'!#REF!</definedName>
    <definedName name="Dra._María_Quezada">'[3]Mensual SOP'!#REF!</definedName>
    <definedName name="Dra._Yexenia_Obando" localSheetId="0">'[3]Mensual SOP'!#REF!</definedName>
    <definedName name="Dra._Yexenia_Obando" localSheetId="34">'[3]Mensual SOP'!#REF!</definedName>
    <definedName name="Dra._Yexenia_Obando" localSheetId="6">'[3]Mensual SOP'!#REF!</definedName>
    <definedName name="Dra._Yexenia_Obando" localSheetId="7">'[3]Mensual SOP'!#REF!</definedName>
    <definedName name="Dra._Yexenia_Obando" localSheetId="5">'[3]Mensual SOP'!#REF!</definedName>
    <definedName name="Dra._Yexenia_Obando" localSheetId="1">'[3]Mensual SOP'!#REF!</definedName>
    <definedName name="Dra._Yexenia_Obando" localSheetId="4">'[3]Mensual SOP'!#REF!</definedName>
    <definedName name="Dra._Yexenia_Obando" localSheetId="2">'[3]Mensual SOP'!#REF!</definedName>
    <definedName name="Dra._Yexenia_Obando" localSheetId="3">'[3]Mensual SOP'!#REF!</definedName>
    <definedName name="Dra._Yexenia_Obando">'[3]Mensual SOP'!#REF!</definedName>
    <definedName name="Excel_BuiltIn_Database" localSheetId="0">#REF!</definedName>
    <definedName name="Excel_BuiltIn_Database" localSheetId="34">#REF!</definedName>
    <definedName name="Excel_BuiltIn_Database" localSheetId="6">#REF!</definedName>
    <definedName name="Excel_BuiltIn_Database" localSheetId="7">#REF!</definedName>
    <definedName name="Excel_BuiltIn_Database" localSheetId="5">#REF!</definedName>
    <definedName name="Excel_BuiltIn_Database" localSheetId="1">#REF!</definedName>
    <definedName name="Excel_BuiltIn_Database" localSheetId="4">#REF!</definedName>
    <definedName name="Excel_BuiltIn_Database" localSheetId="2">#REF!</definedName>
    <definedName name="Excel_BuiltIn_Database" localSheetId="3">#REF!</definedName>
    <definedName name="Excel_BuiltIn_Database">#REF!</definedName>
    <definedName name="FFF" localSheetId="0">'[3]Mensual SOP'!#REF!</definedName>
    <definedName name="FFF" localSheetId="34">'[3]Mensual SOP'!#REF!</definedName>
    <definedName name="FFF" localSheetId="6">'[3]Mensual SOP'!#REF!</definedName>
    <definedName name="FFF" localSheetId="7">'[3]Mensual SOP'!#REF!</definedName>
    <definedName name="FFF" localSheetId="5">'[3]Mensual SOP'!#REF!</definedName>
    <definedName name="FFF" localSheetId="1">'[3]Mensual SOP'!#REF!</definedName>
    <definedName name="FFF" localSheetId="4">'[3]Mensual SOP'!#REF!</definedName>
    <definedName name="FFF" localSheetId="2">'[3]Mensual SOP'!#REF!</definedName>
    <definedName name="FFF" localSheetId="3">'[3]Mensual SOP'!#REF!</definedName>
    <definedName name="FFF">'[3]Mensual SOP'!#REF!</definedName>
    <definedName name="GGG" localSheetId="0">'[3]Mensual SOP'!#REF!</definedName>
    <definedName name="GGG" localSheetId="34">'[3]Mensual SOP'!#REF!</definedName>
    <definedName name="GGG" localSheetId="6">'[3]Mensual SOP'!#REF!</definedName>
    <definedName name="GGG" localSheetId="7">'[3]Mensual SOP'!#REF!</definedName>
    <definedName name="GGG" localSheetId="5">'[3]Mensual SOP'!#REF!</definedName>
    <definedName name="GGG" localSheetId="1">'[3]Mensual SOP'!#REF!</definedName>
    <definedName name="GGG" localSheetId="4">'[3]Mensual SOP'!#REF!</definedName>
    <definedName name="GGG" localSheetId="2">'[3]Mensual SOP'!#REF!</definedName>
    <definedName name="GGG" localSheetId="3">'[3]Mensual SOP'!#REF!</definedName>
    <definedName name="GGG">'[3]Mensual SOP'!#REF!</definedName>
    <definedName name="hhh" localSheetId="0">'[1]PRO-MEN'!#REF!</definedName>
    <definedName name="hhh" localSheetId="34">'[1]PRO-MEN'!#REF!</definedName>
    <definedName name="hhh" localSheetId="6">'[1]PRO-MEN'!#REF!</definedName>
    <definedName name="hhh" localSheetId="7">'[1]PRO-MEN'!#REF!</definedName>
    <definedName name="hhh" localSheetId="5">'[1]PRO-MEN'!#REF!</definedName>
    <definedName name="hhh" localSheetId="1">'[1]PRO-MEN'!#REF!</definedName>
    <definedName name="hhh" localSheetId="4">'[1]PRO-MEN'!#REF!</definedName>
    <definedName name="hhh" localSheetId="2">'[1]PRO-MEN'!#REF!</definedName>
    <definedName name="hhh" localSheetId="3">'[1]PRO-MEN'!#REF!</definedName>
    <definedName name="hhh">'[1]PRO-MEN'!#REF!</definedName>
    <definedName name="HHHH" localSheetId="0">'[4]Mensual SOP'!#REF!</definedName>
    <definedName name="HHHH" localSheetId="34">'[4]Mensual SOP'!#REF!</definedName>
    <definedName name="HHHH" localSheetId="6">'[4]Mensual SOP'!#REF!</definedName>
    <definedName name="HHHH" localSheetId="7">'[4]Mensual SOP'!#REF!</definedName>
    <definedName name="HHHH" localSheetId="5">'[4]Mensual SOP'!#REF!</definedName>
    <definedName name="HHHH" localSheetId="1">'[4]Mensual SOP'!#REF!</definedName>
    <definedName name="HHHH" localSheetId="4">'[4]Mensual SOP'!#REF!</definedName>
    <definedName name="HHHH" localSheetId="2">'[4]Mensual SOP'!#REF!</definedName>
    <definedName name="HHHH" localSheetId="3">'[4]Mensual SOP'!#REF!</definedName>
    <definedName name="HHHH">'[4]Mensual SOP'!#REF!</definedName>
    <definedName name="jjjj" localSheetId="0">'[2]Mensual SOP'!#REF!</definedName>
    <definedName name="jjjj" localSheetId="34">'[2]Mensual SOP'!#REF!</definedName>
    <definedName name="jjjj" localSheetId="6">'[2]Mensual SOP'!#REF!</definedName>
    <definedName name="jjjj" localSheetId="7">'[2]Mensual SOP'!#REF!</definedName>
    <definedName name="jjjj" localSheetId="5">'[2]Mensual SOP'!#REF!</definedName>
    <definedName name="jjjj" localSheetId="1">'[2]Mensual SOP'!#REF!</definedName>
    <definedName name="jjjj" localSheetId="4">'[2]Mensual SOP'!#REF!</definedName>
    <definedName name="jjjj" localSheetId="2">'[2]Mensual SOP'!#REF!</definedName>
    <definedName name="jjjj" localSheetId="3">'[2]Mensual SOP'!#REF!</definedName>
    <definedName name="jjjj">'[2]Mensual SOP'!#REF!</definedName>
    <definedName name="jljklkjñk" localSheetId="0">'[3]Mensual SOP'!#REF!</definedName>
    <definedName name="jljklkjñk" localSheetId="34">'[3]Mensual SOP'!#REF!</definedName>
    <definedName name="jljklkjñk" localSheetId="6">'[3]Mensual SOP'!#REF!</definedName>
    <definedName name="jljklkjñk" localSheetId="7">'[3]Mensual SOP'!#REF!</definedName>
    <definedName name="jljklkjñk" localSheetId="5">'[3]Mensual SOP'!#REF!</definedName>
    <definedName name="jljklkjñk" localSheetId="1">'[3]Mensual SOP'!#REF!</definedName>
    <definedName name="jljklkjñk" localSheetId="4">'[3]Mensual SOP'!#REF!</definedName>
    <definedName name="jljklkjñk" localSheetId="2">'[3]Mensual SOP'!#REF!</definedName>
    <definedName name="jljklkjñk" localSheetId="3">'[3]Mensual SOP'!#REF!</definedName>
    <definedName name="jljklkjñk">'[3]Mensual SOP'!#REF!</definedName>
    <definedName name="KAT" localSheetId="0">'[4]Mensual SOP'!#REF!</definedName>
    <definedName name="KAT" localSheetId="34">'[4]Mensual SOP'!#REF!</definedName>
    <definedName name="KAT" localSheetId="6">'[4]Mensual SOP'!#REF!</definedName>
    <definedName name="KAT" localSheetId="7">'[4]Mensual SOP'!#REF!</definedName>
    <definedName name="KAT" localSheetId="5">'[4]Mensual SOP'!#REF!</definedName>
    <definedName name="KAT" localSheetId="1">'[4]Mensual SOP'!#REF!</definedName>
    <definedName name="KAT" localSheetId="4">'[4]Mensual SOP'!#REF!</definedName>
    <definedName name="KAT" localSheetId="2">'[4]Mensual SOP'!#REF!</definedName>
    <definedName name="KAT" localSheetId="3">'[4]Mensual SOP'!#REF!</definedName>
    <definedName name="KAT">'[4]Mensual SOP'!#REF!</definedName>
    <definedName name="M" localSheetId="0">'[5]Mensual SOP'!#REF!</definedName>
    <definedName name="M" localSheetId="34">'[5]Mensual SOP'!#REF!</definedName>
    <definedName name="M" localSheetId="6">'[5]Mensual SOP'!#REF!</definedName>
    <definedName name="M" localSheetId="7">'[5]Mensual SOP'!#REF!</definedName>
    <definedName name="M" localSheetId="5">'[5]Mensual SOP'!#REF!</definedName>
    <definedName name="M" localSheetId="1">'[5]Mensual SOP'!#REF!</definedName>
    <definedName name="M" localSheetId="4">'[5]Mensual SOP'!#REF!</definedName>
    <definedName name="M" localSheetId="2">'[5]Mensual SOP'!#REF!</definedName>
    <definedName name="M" localSheetId="3">'[5]Mensual SOP'!#REF!</definedName>
    <definedName name="M">'[5]Mensual SOP'!#REF!</definedName>
    <definedName name="MARTINEZ" localSheetId="0">'[5]Mensual SOP'!#REF!</definedName>
    <definedName name="MARTINEZ" localSheetId="34">'[5]Mensual SOP'!#REF!</definedName>
    <definedName name="MARTINEZ" localSheetId="6">'[5]Mensual SOP'!#REF!</definedName>
    <definedName name="MARTINEZ" localSheetId="7">'[5]Mensual SOP'!#REF!</definedName>
    <definedName name="MARTINEZ" localSheetId="5">'[5]Mensual SOP'!#REF!</definedName>
    <definedName name="MARTINEZ" localSheetId="1">'[5]Mensual SOP'!#REF!</definedName>
    <definedName name="MARTINEZ" localSheetId="4">'[5]Mensual SOP'!#REF!</definedName>
    <definedName name="MARTINEZ" localSheetId="2">'[5]Mensual SOP'!#REF!</definedName>
    <definedName name="MARTINEZ" localSheetId="3">'[5]Mensual SOP'!#REF!</definedName>
    <definedName name="MARTINEZ">'[5]Mensual SOP'!#REF!</definedName>
    <definedName name="n" localSheetId="0">#REF!</definedName>
    <definedName name="n" localSheetId="34">#REF!</definedName>
    <definedName name="n" localSheetId="6">#REF!</definedName>
    <definedName name="n" localSheetId="7">#REF!</definedName>
    <definedName name="n" localSheetId="5">#REF!</definedName>
    <definedName name="n" localSheetId="1">#REF!</definedName>
    <definedName name="n" localSheetId="4">#REF!</definedName>
    <definedName name="n" localSheetId="2">#REF!</definedName>
    <definedName name="n" localSheetId="3">#REF!</definedName>
    <definedName name="n">#REF!</definedName>
    <definedName name="nnn" localSheetId="0">'[3]Mensual SOP'!#REF!</definedName>
    <definedName name="nnn" localSheetId="34">'[3]Mensual SOP'!#REF!</definedName>
    <definedName name="nnn" localSheetId="6">'[3]Mensual SOP'!#REF!</definedName>
    <definedName name="nnn" localSheetId="7">'[3]Mensual SOP'!#REF!</definedName>
    <definedName name="nnn" localSheetId="5">'[3]Mensual SOP'!#REF!</definedName>
    <definedName name="nnn" localSheetId="1">'[3]Mensual SOP'!#REF!</definedName>
    <definedName name="nnn" localSheetId="4">'[3]Mensual SOP'!#REF!</definedName>
    <definedName name="nnn" localSheetId="2">'[3]Mensual SOP'!#REF!</definedName>
    <definedName name="nnn" localSheetId="3">'[3]Mensual SOP'!#REF!</definedName>
    <definedName name="nnn">'[3]Mensual SOP'!#REF!</definedName>
    <definedName name="OTRO" localSheetId="0">#REF!</definedName>
    <definedName name="OTRO" localSheetId="34">#REF!</definedName>
    <definedName name="OTRO" localSheetId="6">#REF!</definedName>
    <definedName name="OTRO" localSheetId="7">#REF!</definedName>
    <definedName name="OTRO" localSheetId="5">#REF!</definedName>
    <definedName name="OTRO" localSheetId="1">#REF!</definedName>
    <definedName name="OTRO" localSheetId="4">#REF!</definedName>
    <definedName name="OTRO" localSheetId="2">#REF!</definedName>
    <definedName name="OTRO" localSheetId="3">#REF!</definedName>
    <definedName name="OTRO">#REF!</definedName>
    <definedName name="p" localSheetId="0">'[3]Mensual SOP'!#REF!</definedName>
    <definedName name="p" localSheetId="34">'[3]Mensual SOP'!#REF!</definedName>
    <definedName name="p" localSheetId="6">'[3]Mensual SOP'!#REF!</definedName>
    <definedName name="p" localSheetId="7">'[3]Mensual SOP'!#REF!</definedName>
    <definedName name="p" localSheetId="5">'[3]Mensual SOP'!#REF!</definedName>
    <definedName name="p" localSheetId="1">'[3]Mensual SOP'!#REF!</definedName>
    <definedName name="p" localSheetId="4">'[3]Mensual SOP'!#REF!</definedName>
    <definedName name="p" localSheetId="2">'[3]Mensual SOP'!#REF!</definedName>
    <definedName name="p" localSheetId="3">'[3]Mensual SOP'!#REF!</definedName>
    <definedName name="p">'[3]Mensual SOP'!#REF!</definedName>
    <definedName name="RESUMEN" localSheetId="0">#REF!</definedName>
    <definedName name="RESUMEN" localSheetId="34">#REF!</definedName>
    <definedName name="RESUMEN" localSheetId="6">#REF!</definedName>
    <definedName name="RESUMEN" localSheetId="7">#REF!</definedName>
    <definedName name="RESUMEN" localSheetId="5">#REF!</definedName>
    <definedName name="RESUMEN" localSheetId="1">#REF!</definedName>
    <definedName name="RESUMEN" localSheetId="4">#REF!</definedName>
    <definedName name="RESUMEN" localSheetId="2">#REF!</definedName>
    <definedName name="RESUMEN" localSheetId="3">#REF!</definedName>
    <definedName name="RESUMEN">#REF!</definedName>
    <definedName name="SALBASMAR08" localSheetId="0">#REF!</definedName>
    <definedName name="SALBASMAR08" localSheetId="34">#REF!</definedName>
    <definedName name="SALBASMAR08" localSheetId="6">#REF!</definedName>
    <definedName name="SALBASMAR08" localSheetId="7">#REF!</definedName>
    <definedName name="SALBASMAR08" localSheetId="5">#REF!</definedName>
    <definedName name="SALBASMAR08" localSheetId="1">#REF!</definedName>
    <definedName name="SALBASMAR08" localSheetId="4">#REF!</definedName>
    <definedName name="SALBASMAR08" localSheetId="2">#REF!</definedName>
    <definedName name="SALBASMAR08" localSheetId="3">#REF!</definedName>
    <definedName name="SALBASMAR08">#REF!</definedName>
    <definedName name="SALDO" localSheetId="6">#REF!</definedName>
    <definedName name="SALDO" localSheetId="7">#REF!</definedName>
    <definedName name="SALDO" localSheetId="5">#REF!</definedName>
    <definedName name="SALDO" localSheetId="4">#REF!</definedName>
    <definedName name="SALDO" localSheetId="2">#REF!</definedName>
    <definedName name="SALDO" localSheetId="3">#REF!</definedName>
    <definedName name="SALDO">#REF!</definedName>
    <definedName name="SB" localSheetId="0">#REF!</definedName>
    <definedName name="SB" localSheetId="34">#REF!</definedName>
    <definedName name="SB" localSheetId="6">#REF!</definedName>
    <definedName name="SB" localSheetId="7">#REF!</definedName>
    <definedName name="SB" localSheetId="5">#REF!</definedName>
    <definedName name="SB" localSheetId="1">#REF!</definedName>
    <definedName name="SB" localSheetId="4">#REF!</definedName>
    <definedName name="SB" localSheetId="2">#REF!</definedName>
    <definedName name="SB" localSheetId="3">#REF!</definedName>
    <definedName name="SB">#REF!</definedName>
    <definedName name="TY" localSheetId="0">'[4]Mensual SOP'!#REF!</definedName>
    <definedName name="TY" localSheetId="34">'[4]Mensual SOP'!#REF!</definedName>
    <definedName name="TY" localSheetId="6">'[4]Mensual SOP'!#REF!</definedName>
    <definedName name="TY" localSheetId="7">'[4]Mensual SOP'!#REF!</definedName>
    <definedName name="TY" localSheetId="5">'[4]Mensual SOP'!#REF!</definedName>
    <definedName name="TY" localSheetId="1">'[4]Mensual SOP'!#REF!</definedName>
    <definedName name="TY" localSheetId="4">'[4]Mensual SOP'!#REF!</definedName>
    <definedName name="TY" localSheetId="2">'[4]Mensual SOP'!#REF!</definedName>
    <definedName name="TY" localSheetId="3">'[4]Mensual SOP'!#REF!</definedName>
    <definedName name="TY">'[4]Mensual SOP'!#REF!</definedName>
    <definedName name="UE">'[6]ULAPS DE CONTADORA '!$A$1:$Z$1</definedName>
    <definedName name="vvv" localSheetId="0">'[5]Mensual SOP'!#REF!</definedName>
    <definedName name="vvv" localSheetId="34">'[5]Mensual SOP'!#REF!</definedName>
    <definedName name="vvv" localSheetId="6">'[5]Mensual SOP'!#REF!</definedName>
    <definedName name="vvv" localSheetId="7">'[5]Mensual SOP'!#REF!</definedName>
    <definedName name="vvv" localSheetId="5">'[5]Mensual SOP'!#REF!</definedName>
    <definedName name="vvv" localSheetId="1">'[5]Mensual SOP'!#REF!</definedName>
    <definedName name="vvv" localSheetId="4">'[5]Mensual SOP'!#REF!</definedName>
    <definedName name="vvv" localSheetId="2">'[5]Mensual SOP'!#REF!</definedName>
    <definedName name="vvv" localSheetId="3">'[5]Mensual SOP'!#REF!</definedName>
    <definedName name="vvv">'[5]Mensual SOP'!#REF!</definedName>
    <definedName name="xxx" localSheetId="0">'[3]Mensual SOP'!#REF!</definedName>
    <definedName name="xxx" localSheetId="34">'[3]Mensual SOP'!#REF!</definedName>
    <definedName name="xxx" localSheetId="6">'[3]Mensual SOP'!#REF!</definedName>
    <definedName name="xxx" localSheetId="7">'[3]Mensual SOP'!#REF!</definedName>
    <definedName name="xxx" localSheetId="5">'[3]Mensual SOP'!#REF!</definedName>
    <definedName name="xxx" localSheetId="1">'[3]Mensual SOP'!#REF!</definedName>
    <definedName name="xxx" localSheetId="4">'[3]Mensual SOP'!#REF!</definedName>
    <definedName name="xxx" localSheetId="2">'[3]Mensual SOP'!#REF!</definedName>
    <definedName name="xxx" localSheetId="3">'[3]Mensual SOP'!#REF!</definedName>
    <definedName name="xxx">'[3]Mensual SOP'!#REF!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3" i="45" l="1"/>
  <c r="P33" i="45"/>
  <c r="M31" i="45"/>
  <c r="O31" i="45" s="1"/>
  <c r="M30" i="45"/>
  <c r="O30" i="45" s="1"/>
  <c r="M29" i="45"/>
  <c r="G29" i="45" s="1"/>
  <c r="S28" i="45"/>
  <c r="M27" i="45"/>
  <c r="G27" i="45" s="1"/>
  <c r="AI26" i="45"/>
  <c r="AH26" i="45"/>
  <c r="AE26" i="45"/>
  <c r="AG26" i="45" s="1"/>
  <c r="AC26" i="45"/>
  <c r="AB26" i="45"/>
  <c r="U26" i="45"/>
  <c r="S26" i="45"/>
  <c r="T26" i="45" s="1"/>
  <c r="L26" i="45"/>
  <c r="K26" i="45"/>
  <c r="J26" i="45"/>
  <c r="P24" i="45"/>
  <c r="M24" i="45"/>
  <c r="S22" i="45"/>
  <c r="M22" i="45" s="1"/>
  <c r="P22" i="45"/>
  <c r="S21" i="45"/>
  <c r="Q21" i="45"/>
  <c r="P21" i="45"/>
  <c r="M21" i="45"/>
  <c r="M20" i="45"/>
  <c r="M19" i="45"/>
  <c r="M18" i="45"/>
  <c r="M17" i="45"/>
  <c r="AH16" i="45"/>
  <c r="AE16" i="45"/>
  <c r="AD16" i="45"/>
  <c r="AD10" i="45" s="1"/>
  <c r="AC16" i="45"/>
  <c r="AB16" i="45"/>
  <c r="Z16" i="45"/>
  <c r="Y16" i="45"/>
  <c r="AA16" i="45" s="1"/>
  <c r="V16" i="45"/>
  <c r="R16" i="45"/>
  <c r="P16" i="45"/>
  <c r="J16" i="45"/>
  <c r="L16" i="45" s="1"/>
  <c r="M14" i="45"/>
  <c r="O14" i="45" s="1"/>
  <c r="AH13" i="45"/>
  <c r="M13" i="45"/>
  <c r="O13" i="45" s="1"/>
  <c r="G13" i="45"/>
  <c r="AE12" i="45"/>
  <c r="AG12" i="45" s="1"/>
  <c r="AD12" i="45"/>
  <c r="AC12" i="45"/>
  <c r="AB12" i="45"/>
  <c r="AA12" i="45"/>
  <c r="Y12" i="45"/>
  <c r="Z12" i="45" s="1"/>
  <c r="W12" i="45"/>
  <c r="V12" i="45"/>
  <c r="X12" i="45" s="1"/>
  <c r="S12" i="45"/>
  <c r="U12" i="45" s="1"/>
  <c r="P12" i="45"/>
  <c r="R12" i="45" s="1"/>
  <c r="M12" i="45"/>
  <c r="K12" i="45"/>
  <c r="J12" i="45"/>
  <c r="L12" i="45" s="1"/>
  <c r="AE10" i="45"/>
  <c r="AC10" i="45"/>
  <c r="AB10" i="45"/>
  <c r="Y10" i="45"/>
  <c r="S33" i="44"/>
  <c r="P33" i="44"/>
  <c r="N31" i="44"/>
  <c r="M31" i="44"/>
  <c r="O31" i="44" s="1"/>
  <c r="M30" i="44"/>
  <c r="O30" i="44" s="1"/>
  <c r="M29" i="44"/>
  <c r="G29" i="44"/>
  <c r="S28" i="44"/>
  <c r="S26" i="44" s="1"/>
  <c r="M27" i="44"/>
  <c r="G27" i="44" s="1"/>
  <c r="AI26" i="44"/>
  <c r="AH26" i="44"/>
  <c r="AG26" i="44"/>
  <c r="AE26" i="44"/>
  <c r="AF26" i="44" s="1"/>
  <c r="AC26" i="44"/>
  <c r="AB26" i="44"/>
  <c r="L26" i="44"/>
  <c r="K26" i="44"/>
  <c r="J26" i="44"/>
  <c r="P24" i="44"/>
  <c r="M24" i="44" s="1"/>
  <c r="S22" i="44"/>
  <c r="P22" i="44"/>
  <c r="S21" i="44"/>
  <c r="Q21" i="44"/>
  <c r="P21" i="44"/>
  <c r="M21" i="44" s="1"/>
  <c r="M20" i="44"/>
  <c r="G20" i="44"/>
  <c r="M19" i="44"/>
  <c r="O19" i="44" s="1"/>
  <c r="O18" i="44"/>
  <c r="M18" i="44"/>
  <c r="G18" i="44"/>
  <c r="M17" i="44"/>
  <c r="N17" i="44" s="1"/>
  <c r="AH16" i="44"/>
  <c r="AE16" i="44"/>
  <c r="AB16" i="44"/>
  <c r="AC16" i="44" s="1"/>
  <c r="AA16" i="44"/>
  <c r="Y16" i="44"/>
  <c r="Z16" i="44" s="1"/>
  <c r="X16" i="44"/>
  <c r="W16" i="44"/>
  <c r="V16" i="44"/>
  <c r="S16" i="44"/>
  <c r="L16" i="44"/>
  <c r="J16" i="44"/>
  <c r="O14" i="44"/>
  <c r="N14" i="44"/>
  <c r="M14" i="44"/>
  <c r="G14" i="44" s="1"/>
  <c r="AH13" i="44"/>
  <c r="O13" i="44"/>
  <c r="M13" i="44"/>
  <c r="N13" i="44" s="1"/>
  <c r="G13" i="44"/>
  <c r="D13" i="44" s="1"/>
  <c r="AE12" i="44"/>
  <c r="AG12" i="44" s="1"/>
  <c r="AB12" i="44"/>
  <c r="AD12" i="44" s="1"/>
  <c r="Y12" i="44"/>
  <c r="AA12" i="44" s="1"/>
  <c r="X12" i="44"/>
  <c r="W12" i="44"/>
  <c r="V12" i="44"/>
  <c r="V10" i="44" s="1"/>
  <c r="S12" i="44"/>
  <c r="U12" i="44" s="1"/>
  <c r="P12" i="44"/>
  <c r="R12" i="44" s="1"/>
  <c r="L12" i="44"/>
  <c r="L10" i="44" s="1"/>
  <c r="K12" i="44"/>
  <c r="J12" i="44"/>
  <c r="Y10" i="44"/>
  <c r="J10" i="44"/>
  <c r="S33" i="43"/>
  <c r="P33" i="43"/>
  <c r="M31" i="43"/>
  <c r="O31" i="43" s="1"/>
  <c r="G31" i="43"/>
  <c r="M30" i="43"/>
  <c r="O30" i="43" s="1"/>
  <c r="M29" i="43"/>
  <c r="G29" i="43" s="1"/>
  <c r="S28" i="43"/>
  <c r="S26" i="43" s="1"/>
  <c r="U26" i="43" s="1"/>
  <c r="M27" i="43"/>
  <c r="G27" i="43" s="1"/>
  <c r="AI26" i="43"/>
  <c r="AH26" i="43"/>
  <c r="AE26" i="43"/>
  <c r="AF26" i="43" s="1"/>
  <c r="AC26" i="43"/>
  <c r="AB26" i="43"/>
  <c r="L26" i="43"/>
  <c r="K26" i="43"/>
  <c r="J26" i="43"/>
  <c r="P24" i="43"/>
  <c r="M24" i="43" s="1"/>
  <c r="S22" i="43"/>
  <c r="P22" i="43"/>
  <c r="S21" i="43"/>
  <c r="Q21" i="43"/>
  <c r="P21" i="43"/>
  <c r="M20" i="43"/>
  <c r="M19" i="43"/>
  <c r="N19" i="43" s="1"/>
  <c r="N18" i="43"/>
  <c r="M18" i="43"/>
  <c r="N17" i="43"/>
  <c r="M17" i="43"/>
  <c r="AH16" i="43"/>
  <c r="AE16" i="43"/>
  <c r="AC16" i="43"/>
  <c r="AB16" i="43"/>
  <c r="AD16" i="43" s="1"/>
  <c r="Y16" i="43"/>
  <c r="AA16" i="43" s="1"/>
  <c r="W16" i="43"/>
  <c r="V16" i="43"/>
  <c r="X16" i="43" s="1"/>
  <c r="J16" i="43"/>
  <c r="L16" i="43" s="1"/>
  <c r="M14" i="43"/>
  <c r="O14" i="43" s="1"/>
  <c r="G14" i="43"/>
  <c r="AH13" i="43"/>
  <c r="M13" i="43"/>
  <c r="O13" i="43" s="1"/>
  <c r="AF12" i="43"/>
  <c r="AE12" i="43"/>
  <c r="AG12" i="43" s="1"/>
  <c r="AC12" i="43"/>
  <c r="AC10" i="43" s="1"/>
  <c r="AB12" i="43"/>
  <c r="AD12" i="43" s="1"/>
  <c r="Z12" i="43"/>
  <c r="Y12" i="43"/>
  <c r="Y10" i="43" s="1"/>
  <c r="V12" i="43"/>
  <c r="X12" i="43" s="1"/>
  <c r="U12" i="43"/>
  <c r="S12" i="43"/>
  <c r="T12" i="43" s="1"/>
  <c r="P12" i="43"/>
  <c r="R12" i="43" s="1"/>
  <c r="M12" i="43"/>
  <c r="K12" i="43"/>
  <c r="J12" i="43"/>
  <c r="L12" i="43" s="1"/>
  <c r="AB10" i="43"/>
  <c r="J10" i="43"/>
  <c r="S33" i="42"/>
  <c r="P33" i="42"/>
  <c r="M31" i="42"/>
  <c r="O31" i="42" s="1"/>
  <c r="M30" i="42"/>
  <c r="O30" i="42" s="1"/>
  <c r="M29" i="42"/>
  <c r="G29" i="42" s="1"/>
  <c r="S28" i="42"/>
  <c r="S26" i="42" s="1"/>
  <c r="U26" i="42" s="1"/>
  <c r="M27" i="42"/>
  <c r="G27" i="42" s="1"/>
  <c r="AI26" i="42"/>
  <c r="AH26" i="42"/>
  <c r="AE26" i="42"/>
  <c r="AG26" i="42" s="1"/>
  <c r="AC26" i="42"/>
  <c r="AB26" i="42"/>
  <c r="L26" i="42"/>
  <c r="K26" i="42"/>
  <c r="J26" i="42"/>
  <c r="J10" i="42" s="1"/>
  <c r="P24" i="42"/>
  <c r="S22" i="42"/>
  <c r="P22" i="42"/>
  <c r="S21" i="42"/>
  <c r="M21" i="42" s="1"/>
  <c r="Q21" i="42"/>
  <c r="P21" i="42"/>
  <c r="M20" i="42"/>
  <c r="M19" i="42"/>
  <c r="N19" i="42" s="1"/>
  <c r="N18" i="42"/>
  <c r="M18" i="42"/>
  <c r="M17" i="42"/>
  <c r="N17" i="42" s="1"/>
  <c r="AH16" i="42"/>
  <c r="AE16" i="42"/>
  <c r="AB16" i="42"/>
  <c r="AC16" i="42" s="1"/>
  <c r="Z16" i="42"/>
  <c r="Y16" i="42"/>
  <c r="AA16" i="42" s="1"/>
  <c r="V16" i="42"/>
  <c r="X16" i="42" s="1"/>
  <c r="P16" i="42"/>
  <c r="J16" i="42"/>
  <c r="L16" i="42" s="1"/>
  <c r="M14" i="42"/>
  <c r="O14" i="42" s="1"/>
  <c r="G14" i="42"/>
  <c r="AH13" i="42"/>
  <c r="M13" i="42"/>
  <c r="O13" i="42" s="1"/>
  <c r="G13" i="42"/>
  <c r="AE12" i="42"/>
  <c r="AG12" i="42" s="1"/>
  <c r="AC12" i="42"/>
  <c r="AB12" i="42"/>
  <c r="AD12" i="42" s="1"/>
  <c r="Y12" i="42"/>
  <c r="Z12" i="42" s="1"/>
  <c r="W12" i="42"/>
  <c r="V12" i="42"/>
  <c r="X12" i="42" s="1"/>
  <c r="S12" i="42"/>
  <c r="U12" i="42" s="1"/>
  <c r="P12" i="42"/>
  <c r="M12" i="42"/>
  <c r="J12" i="42"/>
  <c r="L12" i="42" s="1"/>
  <c r="V10" i="42"/>
  <c r="S33" i="41"/>
  <c r="P33" i="41"/>
  <c r="M31" i="41"/>
  <c r="O31" i="41" s="1"/>
  <c r="M30" i="41"/>
  <c r="O30" i="41" s="1"/>
  <c r="M29" i="41"/>
  <c r="G29" i="41" s="1"/>
  <c r="S28" i="41"/>
  <c r="M27" i="41"/>
  <c r="G27" i="41" s="1"/>
  <c r="AI26" i="41"/>
  <c r="AH26" i="41"/>
  <c r="AG26" i="41"/>
  <c r="AE26" i="41"/>
  <c r="AF26" i="41" s="1"/>
  <c r="AC26" i="41"/>
  <c r="AB26" i="41"/>
  <c r="S26" i="41"/>
  <c r="U26" i="41" s="1"/>
  <c r="L26" i="41"/>
  <c r="K26" i="41"/>
  <c r="J26" i="41"/>
  <c r="P24" i="41"/>
  <c r="M24" i="41" s="1"/>
  <c r="S22" i="41"/>
  <c r="P22" i="41"/>
  <c r="M22" i="41" s="1"/>
  <c r="S21" i="41"/>
  <c r="S16" i="41" s="1"/>
  <c r="S10" i="41" s="1"/>
  <c r="Q21" i="41"/>
  <c r="P21" i="41"/>
  <c r="O20" i="41"/>
  <c r="M20" i="41"/>
  <c r="G20" i="41" s="1"/>
  <c r="N19" i="41"/>
  <c r="M19" i="41"/>
  <c r="G19" i="41"/>
  <c r="D19" i="41" s="1"/>
  <c r="O18" i="41"/>
  <c r="N18" i="41"/>
  <c r="M18" i="41"/>
  <c r="G18" i="41"/>
  <c r="D18" i="41" s="1"/>
  <c r="N17" i="41"/>
  <c r="M17" i="41"/>
  <c r="G17" i="41"/>
  <c r="AH16" i="41"/>
  <c r="AE16" i="41"/>
  <c r="AE10" i="41" s="1"/>
  <c r="AB16" i="41"/>
  <c r="AC16" i="41" s="1"/>
  <c r="Z16" i="41"/>
  <c r="Y16" i="41"/>
  <c r="AA16" i="41" s="1"/>
  <c r="W16" i="41"/>
  <c r="V16" i="41"/>
  <c r="X16" i="41" s="1"/>
  <c r="J16" i="41"/>
  <c r="L16" i="41" s="1"/>
  <c r="M14" i="41"/>
  <c r="O14" i="41" s="1"/>
  <c r="AH13" i="41"/>
  <c r="M13" i="41"/>
  <c r="G13" i="41" s="1"/>
  <c r="AF12" i="41"/>
  <c r="AE12" i="41"/>
  <c r="AG12" i="41" s="1"/>
  <c r="AB12" i="41"/>
  <c r="AD12" i="41" s="1"/>
  <c r="AA12" i="41"/>
  <c r="AA10" i="41" s="1"/>
  <c r="Z12" i="41"/>
  <c r="Z10" i="41" s="1"/>
  <c r="Y12" i="41"/>
  <c r="V12" i="41"/>
  <c r="V10" i="41" s="1"/>
  <c r="S12" i="41"/>
  <c r="P12" i="41"/>
  <c r="R12" i="41" s="1"/>
  <c r="L12" i="41"/>
  <c r="K12" i="41"/>
  <c r="J12" i="41"/>
  <c r="AB10" i="41"/>
  <c r="Y10" i="41"/>
  <c r="S33" i="40"/>
  <c r="P33" i="40"/>
  <c r="M31" i="40"/>
  <c r="O31" i="40" s="1"/>
  <c r="M30" i="40"/>
  <c r="O30" i="40" s="1"/>
  <c r="M29" i="40"/>
  <c r="G29" i="40" s="1"/>
  <c r="S28" i="40"/>
  <c r="M27" i="40"/>
  <c r="G27" i="40"/>
  <c r="D27" i="40"/>
  <c r="E27" i="40" s="1"/>
  <c r="AI26" i="40"/>
  <c r="AH26" i="40"/>
  <c r="AE26" i="40"/>
  <c r="AF26" i="40" s="1"/>
  <c r="AC26" i="40"/>
  <c r="AB26" i="40"/>
  <c r="S26" i="40"/>
  <c r="U26" i="40" s="1"/>
  <c r="L26" i="40"/>
  <c r="K26" i="40"/>
  <c r="J26" i="40"/>
  <c r="P24" i="40"/>
  <c r="M24" i="40" s="1"/>
  <c r="S22" i="40"/>
  <c r="P22" i="40"/>
  <c r="M22" i="40" s="1"/>
  <c r="O22" i="40" s="1"/>
  <c r="S21" i="40"/>
  <c r="Q21" i="40"/>
  <c r="P21" i="40"/>
  <c r="M20" i="40"/>
  <c r="N20" i="40" s="1"/>
  <c r="G20" i="40"/>
  <c r="D20" i="40" s="1"/>
  <c r="N19" i="40"/>
  <c r="M19" i="40"/>
  <c r="O19" i="40" s="1"/>
  <c r="I19" i="40" s="1"/>
  <c r="G19" i="40"/>
  <c r="H19" i="40" s="1"/>
  <c r="M18" i="40"/>
  <c r="G18" i="40" s="1"/>
  <c r="N17" i="40"/>
  <c r="M17" i="40"/>
  <c r="O17" i="40" s="1"/>
  <c r="I17" i="40" s="1"/>
  <c r="G17" i="40"/>
  <c r="AH16" i="40"/>
  <c r="AE16" i="40"/>
  <c r="AE10" i="40" s="1"/>
  <c r="AB16" i="40"/>
  <c r="AD16" i="40" s="1"/>
  <c r="AA16" i="40"/>
  <c r="Y16" i="40"/>
  <c r="Z16" i="40" s="1"/>
  <c r="W16" i="40"/>
  <c r="V16" i="40"/>
  <c r="X16" i="40" s="1"/>
  <c r="S16" i="40"/>
  <c r="R16" i="40"/>
  <c r="P16" i="40"/>
  <c r="J16" i="40"/>
  <c r="L16" i="40" s="1"/>
  <c r="M14" i="40"/>
  <c r="O14" i="40" s="1"/>
  <c r="AH13" i="40"/>
  <c r="O13" i="40"/>
  <c r="M13" i="40"/>
  <c r="G13" i="40" s="1"/>
  <c r="AG12" i="40"/>
  <c r="AF12" i="40"/>
  <c r="AF10" i="40" s="1"/>
  <c r="AE12" i="40"/>
  <c r="AB12" i="40"/>
  <c r="AC12" i="40" s="1"/>
  <c r="Y12" i="40"/>
  <c r="Z12" i="40" s="1"/>
  <c r="V12" i="40"/>
  <c r="W12" i="40" s="1"/>
  <c r="S12" i="40"/>
  <c r="T12" i="40" s="1"/>
  <c r="P12" i="40"/>
  <c r="R12" i="40" s="1"/>
  <c r="L12" i="40"/>
  <c r="K12" i="40"/>
  <c r="J12" i="40"/>
  <c r="V10" i="40"/>
  <c r="H13" i="44" l="1"/>
  <c r="N24" i="42"/>
  <c r="X10" i="44"/>
  <c r="W10" i="40"/>
  <c r="N18" i="40"/>
  <c r="H18" i="40" s="1"/>
  <c r="N13" i="41"/>
  <c r="H13" i="41" s="1"/>
  <c r="T26" i="41"/>
  <c r="AF26" i="42"/>
  <c r="AA12" i="43"/>
  <c r="N13" i="43"/>
  <c r="AA10" i="43"/>
  <c r="AG26" i="43"/>
  <c r="G30" i="43"/>
  <c r="M12" i="44"/>
  <c r="N12" i="44" s="1"/>
  <c r="N19" i="44"/>
  <c r="O12" i="45"/>
  <c r="S16" i="45"/>
  <c r="O21" i="45"/>
  <c r="O24" i="45"/>
  <c r="Y10" i="40"/>
  <c r="X12" i="40"/>
  <c r="X10" i="40" s="1"/>
  <c r="N13" i="40"/>
  <c r="O18" i="40"/>
  <c r="I18" i="40" s="1"/>
  <c r="O13" i="41"/>
  <c r="N30" i="41"/>
  <c r="AF12" i="42"/>
  <c r="AD16" i="42"/>
  <c r="G30" i="42"/>
  <c r="V10" i="43"/>
  <c r="X10" i="43" s="1"/>
  <c r="AD10" i="43"/>
  <c r="O17" i="44"/>
  <c r="G30" i="44"/>
  <c r="J10" i="45"/>
  <c r="L10" i="45" s="1"/>
  <c r="Z10" i="45"/>
  <c r="N13" i="45"/>
  <c r="O12" i="43"/>
  <c r="Y10" i="42"/>
  <c r="AE10" i="42"/>
  <c r="O12" i="44"/>
  <c r="V10" i="45"/>
  <c r="AB10" i="40"/>
  <c r="AA12" i="40"/>
  <c r="AA10" i="40" s="1"/>
  <c r="J10" i="41"/>
  <c r="L10" i="41" s="1"/>
  <c r="W12" i="41"/>
  <c r="W10" i="41" s="1"/>
  <c r="O17" i="41"/>
  <c r="I17" i="41" s="1"/>
  <c r="O19" i="41"/>
  <c r="I19" i="41" s="1"/>
  <c r="N31" i="41"/>
  <c r="AB10" i="42"/>
  <c r="AC10" i="42" s="1"/>
  <c r="H13" i="42"/>
  <c r="R16" i="42"/>
  <c r="G31" i="42"/>
  <c r="I31" i="42" s="1"/>
  <c r="T12" i="44"/>
  <c r="AF12" i="44"/>
  <c r="P16" i="44"/>
  <c r="AD16" i="44"/>
  <c r="I18" i="44"/>
  <c r="U16" i="44"/>
  <c r="N30" i="44"/>
  <c r="H30" i="44" s="1"/>
  <c r="S10" i="45"/>
  <c r="G14" i="45"/>
  <c r="D14" i="45" s="1"/>
  <c r="AA10" i="45"/>
  <c r="O22" i="45"/>
  <c r="AF26" i="45"/>
  <c r="U16" i="40"/>
  <c r="X12" i="41"/>
  <c r="X10" i="41" s="1"/>
  <c r="AH12" i="41"/>
  <c r="M33" i="41"/>
  <c r="N33" i="41" s="1"/>
  <c r="H33" i="41" s="1"/>
  <c r="L10" i="42"/>
  <c r="Z10" i="42"/>
  <c r="M24" i="42"/>
  <c r="O24" i="42" s="1"/>
  <c r="W12" i="43"/>
  <c r="W10" i="43" s="1"/>
  <c r="AE10" i="43"/>
  <c r="AB10" i="44"/>
  <c r="AE10" i="44"/>
  <c r="N18" i="44"/>
  <c r="G31" i="44"/>
  <c r="H31" i="44" s="1"/>
  <c r="AF10" i="43"/>
  <c r="S10" i="40"/>
  <c r="AD16" i="41"/>
  <c r="AD10" i="41" s="1"/>
  <c r="I18" i="41"/>
  <c r="O22" i="41"/>
  <c r="K12" i="42"/>
  <c r="AA12" i="42"/>
  <c r="N13" i="42"/>
  <c r="W16" i="42"/>
  <c r="W10" i="42" s="1"/>
  <c r="O21" i="42"/>
  <c r="G13" i="43"/>
  <c r="H13" i="43" s="1"/>
  <c r="P16" i="43"/>
  <c r="I14" i="44"/>
  <c r="U16" i="41"/>
  <c r="I20" i="41"/>
  <c r="O33" i="41"/>
  <c r="AD10" i="42"/>
  <c r="AA10" i="42"/>
  <c r="M21" i="43"/>
  <c r="O21" i="43" s="1"/>
  <c r="E13" i="44"/>
  <c r="H14" i="44"/>
  <c r="W10" i="44"/>
  <c r="G17" i="44"/>
  <c r="I17" i="44" s="1"/>
  <c r="G19" i="44"/>
  <c r="D19" i="44" s="1"/>
  <c r="U26" i="44"/>
  <c r="E29" i="45"/>
  <c r="D29" i="45"/>
  <c r="G22" i="45"/>
  <c r="I22" i="45" s="1"/>
  <c r="D27" i="45"/>
  <c r="E27" i="45" s="1"/>
  <c r="AF12" i="45"/>
  <c r="H13" i="45"/>
  <c r="E13" i="45" s="1"/>
  <c r="W16" i="45"/>
  <c r="W10" i="45" s="1"/>
  <c r="N17" i="45"/>
  <c r="N18" i="45"/>
  <c r="N19" i="45"/>
  <c r="N24" i="45"/>
  <c r="G30" i="45"/>
  <c r="G31" i="45"/>
  <c r="AG10" i="45"/>
  <c r="Q12" i="45"/>
  <c r="I13" i="45"/>
  <c r="X16" i="45"/>
  <c r="X10" i="45" s="1"/>
  <c r="O17" i="45"/>
  <c r="O18" i="45"/>
  <c r="I18" i="45" s="1"/>
  <c r="O19" i="45"/>
  <c r="I19" i="45" s="1"/>
  <c r="N20" i="45"/>
  <c r="N21" i="45"/>
  <c r="AH12" i="45"/>
  <c r="AJ12" i="45" s="1"/>
  <c r="I14" i="45"/>
  <c r="O20" i="45"/>
  <c r="I30" i="45"/>
  <c r="I31" i="45"/>
  <c r="M33" i="45"/>
  <c r="O33" i="45" s="1"/>
  <c r="T12" i="45"/>
  <c r="N14" i="45"/>
  <c r="H14" i="45" s="1"/>
  <c r="E14" i="45" s="1"/>
  <c r="G17" i="45"/>
  <c r="G18" i="45"/>
  <c r="G19" i="45"/>
  <c r="G20" i="45"/>
  <c r="G24" i="45"/>
  <c r="N30" i="45"/>
  <c r="H30" i="45" s="1"/>
  <c r="N31" i="45"/>
  <c r="H31" i="45" s="1"/>
  <c r="D13" i="45"/>
  <c r="G21" i="45"/>
  <c r="H24" i="45"/>
  <c r="M16" i="45"/>
  <c r="D27" i="44"/>
  <c r="E27" i="44" s="1"/>
  <c r="G24" i="44"/>
  <c r="O24" i="44"/>
  <c r="N24" i="44"/>
  <c r="H24" i="44" s="1"/>
  <c r="AF10" i="44"/>
  <c r="AG10" i="44"/>
  <c r="Q12" i="44"/>
  <c r="I13" i="44"/>
  <c r="N20" i="44"/>
  <c r="N21" i="44"/>
  <c r="Z12" i="44"/>
  <c r="Z10" i="44" s="1"/>
  <c r="AH12" i="44"/>
  <c r="D17" i="44"/>
  <c r="D18" i="44"/>
  <c r="D20" i="44"/>
  <c r="O20" i="44"/>
  <c r="I20" i="44" s="1"/>
  <c r="O21" i="44"/>
  <c r="T26" i="44"/>
  <c r="D29" i="44"/>
  <c r="E29" i="44" s="1"/>
  <c r="I30" i="44"/>
  <c r="I31" i="44"/>
  <c r="S10" i="44"/>
  <c r="U10" i="44" s="1"/>
  <c r="AA10" i="44"/>
  <c r="M22" i="44"/>
  <c r="M16" i="44" s="1"/>
  <c r="M33" i="44"/>
  <c r="AC10" i="44"/>
  <c r="AC12" i="44"/>
  <c r="H17" i="44"/>
  <c r="E17" i="44" s="1"/>
  <c r="H18" i="44"/>
  <c r="E18" i="44" s="1"/>
  <c r="G21" i="44"/>
  <c r="AD10" i="44"/>
  <c r="D14" i="44"/>
  <c r="D12" i="44" s="1"/>
  <c r="D30" i="44"/>
  <c r="E30" i="44" s="1"/>
  <c r="D31" i="44"/>
  <c r="G12" i="44"/>
  <c r="G24" i="43"/>
  <c r="N24" i="43"/>
  <c r="E29" i="43"/>
  <c r="D29" i="43"/>
  <c r="D27" i="43"/>
  <c r="L10" i="43"/>
  <c r="AG10" i="43"/>
  <c r="Q12" i="43"/>
  <c r="I13" i="43"/>
  <c r="O17" i="43"/>
  <c r="O18" i="43"/>
  <c r="I18" i="43" s="1"/>
  <c r="O19" i="43"/>
  <c r="N20" i="43"/>
  <c r="N21" i="43"/>
  <c r="O24" i="43"/>
  <c r="AH12" i="43"/>
  <c r="I14" i="43"/>
  <c r="O20" i="43"/>
  <c r="I20" i="43" s="1"/>
  <c r="T26" i="43"/>
  <c r="I30" i="43"/>
  <c r="I31" i="43"/>
  <c r="Z16" i="43"/>
  <c r="Z10" i="43" s="1"/>
  <c r="M22" i="43"/>
  <c r="O22" i="43" s="1"/>
  <c r="M33" i="43"/>
  <c r="O33" i="43" s="1"/>
  <c r="N14" i="43"/>
  <c r="N12" i="43" s="1"/>
  <c r="S16" i="43"/>
  <c r="G17" i="43"/>
  <c r="G18" i="43"/>
  <c r="G19" i="43"/>
  <c r="G20" i="43"/>
  <c r="N30" i="43"/>
  <c r="H30" i="43" s="1"/>
  <c r="E30" i="43" s="1"/>
  <c r="N31" i="43"/>
  <c r="H31" i="43" s="1"/>
  <c r="N33" i="43"/>
  <c r="G21" i="43"/>
  <c r="D14" i="43"/>
  <c r="M16" i="43"/>
  <c r="D30" i="43"/>
  <c r="D31" i="43"/>
  <c r="D29" i="42"/>
  <c r="E29" i="42" s="1"/>
  <c r="X10" i="42"/>
  <c r="O12" i="42"/>
  <c r="D27" i="42"/>
  <c r="AG10" i="42"/>
  <c r="Q12" i="42"/>
  <c r="I13" i="42"/>
  <c r="O17" i="42"/>
  <c r="I17" i="42" s="1"/>
  <c r="O18" i="42"/>
  <c r="O19" i="42"/>
  <c r="N20" i="42"/>
  <c r="N21" i="42"/>
  <c r="R12" i="42"/>
  <c r="AH12" i="42"/>
  <c r="I14" i="42"/>
  <c r="O20" i="42"/>
  <c r="I20" i="42" s="1"/>
  <c r="T26" i="42"/>
  <c r="I30" i="42"/>
  <c r="M22" i="42"/>
  <c r="M16" i="42" s="1"/>
  <c r="M33" i="42"/>
  <c r="T12" i="42"/>
  <c r="N14" i="42"/>
  <c r="H14" i="42" s="1"/>
  <c r="S16" i="42"/>
  <c r="S10" i="42" s="1"/>
  <c r="G17" i="42"/>
  <c r="G18" i="42"/>
  <c r="H18" i="42" s="1"/>
  <c r="G19" i="42"/>
  <c r="G20" i="42"/>
  <c r="G24" i="42"/>
  <c r="N30" i="42"/>
  <c r="H30" i="42" s="1"/>
  <c r="N31" i="42"/>
  <c r="N33" i="42"/>
  <c r="D13" i="42"/>
  <c r="E13" i="42" s="1"/>
  <c r="H17" i="42"/>
  <c r="G21" i="42"/>
  <c r="H21" i="42" s="1"/>
  <c r="D14" i="42"/>
  <c r="D30" i="42"/>
  <c r="G12" i="42"/>
  <c r="G24" i="41"/>
  <c r="D27" i="41"/>
  <c r="E27" i="41" s="1"/>
  <c r="I33" i="41"/>
  <c r="AG10" i="41"/>
  <c r="AF10" i="41"/>
  <c r="E29" i="41"/>
  <c r="G12" i="41"/>
  <c r="D13" i="41"/>
  <c r="G14" i="41"/>
  <c r="M21" i="41"/>
  <c r="G22" i="41"/>
  <c r="N24" i="41"/>
  <c r="G30" i="41"/>
  <c r="G31" i="41"/>
  <c r="H31" i="41" s="1"/>
  <c r="G33" i="41"/>
  <c r="Q12" i="41"/>
  <c r="I13" i="41"/>
  <c r="P16" i="41"/>
  <c r="N20" i="41"/>
  <c r="O24" i="41"/>
  <c r="H30" i="41"/>
  <c r="D17" i="41"/>
  <c r="D20" i="41"/>
  <c r="D29" i="41"/>
  <c r="I30" i="41"/>
  <c r="T12" i="41"/>
  <c r="N14" i="41"/>
  <c r="M12" i="41"/>
  <c r="O12" i="41" s="1"/>
  <c r="U12" i="41"/>
  <c r="U10" i="41" s="1"/>
  <c r="AC12" i="41"/>
  <c r="AC10" i="41" s="1"/>
  <c r="H17" i="41"/>
  <c r="H18" i="41"/>
  <c r="E18" i="41" s="1"/>
  <c r="H19" i="41"/>
  <c r="E19" i="41" s="1"/>
  <c r="M16" i="41"/>
  <c r="D29" i="40"/>
  <c r="E29" i="40" s="1"/>
  <c r="G12" i="40"/>
  <c r="D13" i="40"/>
  <c r="G24" i="40"/>
  <c r="O24" i="40"/>
  <c r="H13" i="40"/>
  <c r="E13" i="40" s="1"/>
  <c r="G14" i="40"/>
  <c r="M21" i="40"/>
  <c r="G22" i="40"/>
  <c r="I22" i="40" s="1"/>
  <c r="N24" i="40"/>
  <c r="AG26" i="40"/>
  <c r="AG10" i="40" s="1"/>
  <c r="G30" i="40"/>
  <c r="G31" i="40"/>
  <c r="I31" i="40" s="1"/>
  <c r="Q12" i="40"/>
  <c r="I13" i="40"/>
  <c r="J10" i="40"/>
  <c r="L10" i="40" s="1"/>
  <c r="Z10" i="40"/>
  <c r="AH12" i="40"/>
  <c r="I14" i="40"/>
  <c r="D17" i="40"/>
  <c r="D18" i="40"/>
  <c r="D19" i="40"/>
  <c r="E19" i="40" s="1"/>
  <c r="O20" i="40"/>
  <c r="I20" i="40" s="1"/>
  <c r="T26" i="40"/>
  <c r="I30" i="40"/>
  <c r="M33" i="40"/>
  <c r="N30" i="40"/>
  <c r="N31" i="40"/>
  <c r="H17" i="40"/>
  <c r="N14" i="40"/>
  <c r="H14" i="40" s="1"/>
  <c r="M12" i="40"/>
  <c r="U12" i="40"/>
  <c r="U10" i="40" s="1"/>
  <c r="AD12" i="40"/>
  <c r="AD10" i="40" s="1"/>
  <c r="AC16" i="40"/>
  <c r="AC10" i="40"/>
  <c r="L26" i="3"/>
  <c r="E18" i="40" l="1"/>
  <c r="I12" i="40"/>
  <c r="I31" i="41"/>
  <c r="I12" i="42"/>
  <c r="G12" i="43"/>
  <c r="I12" i="43" s="1"/>
  <c r="D13" i="43"/>
  <c r="D12" i="43" s="1"/>
  <c r="I24" i="43"/>
  <c r="H24" i="43"/>
  <c r="G12" i="45"/>
  <c r="I12" i="45" s="1"/>
  <c r="D31" i="42"/>
  <c r="E31" i="43"/>
  <c r="H19" i="44"/>
  <c r="E19" i="44" s="1"/>
  <c r="I21" i="44"/>
  <c r="H21" i="45"/>
  <c r="I19" i="44"/>
  <c r="AF10" i="42"/>
  <c r="AJ12" i="41"/>
  <c r="AJ10" i="41" s="1"/>
  <c r="AH10" i="41"/>
  <c r="I24" i="41"/>
  <c r="I19" i="43"/>
  <c r="E31" i="44"/>
  <c r="U16" i="45"/>
  <c r="U10" i="45" s="1"/>
  <c r="H21" i="44"/>
  <c r="AF10" i="45"/>
  <c r="R16" i="44"/>
  <c r="AI12" i="41"/>
  <c r="E17" i="40"/>
  <c r="N12" i="41"/>
  <c r="H31" i="42"/>
  <c r="E31" i="42" s="1"/>
  <c r="I19" i="42"/>
  <c r="H24" i="41"/>
  <c r="H31" i="40"/>
  <c r="H24" i="40"/>
  <c r="E30" i="42"/>
  <c r="I18" i="42"/>
  <c r="H14" i="43"/>
  <c r="E14" i="43" s="1"/>
  <c r="I24" i="44"/>
  <c r="N33" i="45"/>
  <c r="I20" i="45"/>
  <c r="O16" i="45"/>
  <c r="R16" i="43"/>
  <c r="D19" i="45"/>
  <c r="D18" i="45"/>
  <c r="D17" i="45"/>
  <c r="G16" i="45"/>
  <c r="I17" i="45"/>
  <c r="D21" i="45"/>
  <c r="E21" i="45" s="1"/>
  <c r="H19" i="45"/>
  <c r="E19" i="45" s="1"/>
  <c r="AI12" i="45"/>
  <c r="AI10" i="45" s="1"/>
  <c r="AH10" i="45"/>
  <c r="AJ10" i="45" s="1"/>
  <c r="D31" i="45"/>
  <c r="E31" i="45" s="1"/>
  <c r="I21" i="45"/>
  <c r="N12" i="45"/>
  <c r="H18" i="45"/>
  <c r="E18" i="45" s="1"/>
  <c r="D24" i="45"/>
  <c r="E24" i="45" s="1"/>
  <c r="D30" i="45"/>
  <c r="E30" i="45" s="1"/>
  <c r="I24" i="45"/>
  <c r="H17" i="45"/>
  <c r="E17" i="45" s="1"/>
  <c r="H12" i="45"/>
  <c r="D12" i="45"/>
  <c r="E12" i="45" s="1"/>
  <c r="D20" i="45"/>
  <c r="G33" i="45"/>
  <c r="I33" i="45" s="1"/>
  <c r="D22" i="45"/>
  <c r="N33" i="44"/>
  <c r="H33" i="44" s="1"/>
  <c r="I33" i="44"/>
  <c r="G33" i="44"/>
  <c r="H12" i="44"/>
  <c r="D21" i="44"/>
  <c r="E21" i="44" s="1"/>
  <c r="O33" i="44"/>
  <c r="D24" i="44"/>
  <c r="E24" i="44" s="1"/>
  <c r="AH10" i="44"/>
  <c r="AJ12" i="44"/>
  <c r="AJ10" i="44" s="1"/>
  <c r="I12" i="44"/>
  <c r="AI12" i="44"/>
  <c r="G22" i="44"/>
  <c r="G16" i="44" s="1"/>
  <c r="E12" i="44"/>
  <c r="E14" i="44"/>
  <c r="O22" i="44"/>
  <c r="D19" i="43"/>
  <c r="AH10" i="43"/>
  <c r="AJ10" i="43" s="1"/>
  <c r="D18" i="43"/>
  <c r="AI12" i="43"/>
  <c r="O16" i="43"/>
  <c r="E27" i="43"/>
  <c r="D17" i="43"/>
  <c r="H12" i="43"/>
  <c r="AJ12" i="43"/>
  <c r="S10" i="43"/>
  <c r="D24" i="43"/>
  <c r="E24" i="43" s="1"/>
  <c r="H19" i="43"/>
  <c r="D21" i="43"/>
  <c r="H18" i="43"/>
  <c r="G33" i="43"/>
  <c r="U16" i="43"/>
  <c r="U10" i="43" s="1"/>
  <c r="I21" i="43"/>
  <c r="H21" i="43"/>
  <c r="H17" i="43"/>
  <c r="D20" i="43"/>
  <c r="G22" i="43"/>
  <c r="I17" i="43"/>
  <c r="E14" i="42"/>
  <c r="H12" i="42"/>
  <c r="D24" i="42"/>
  <c r="N12" i="42"/>
  <c r="D12" i="42"/>
  <c r="D20" i="42"/>
  <c r="AI12" i="42"/>
  <c r="AH10" i="42"/>
  <c r="E27" i="42"/>
  <c r="D19" i="42"/>
  <c r="G33" i="42"/>
  <c r="H33" i="42" s="1"/>
  <c r="AJ12" i="42"/>
  <c r="AJ10" i="42" s="1"/>
  <c r="H24" i="42"/>
  <c r="D18" i="42"/>
  <c r="E18" i="42" s="1"/>
  <c r="G22" i="42"/>
  <c r="D21" i="42"/>
  <c r="E21" i="42" s="1"/>
  <c r="D17" i="42"/>
  <c r="E17" i="42" s="1"/>
  <c r="O33" i="42"/>
  <c r="I33" i="42" s="1"/>
  <c r="O22" i="42"/>
  <c r="H19" i="42"/>
  <c r="I24" i="42"/>
  <c r="I21" i="42"/>
  <c r="U16" i="42"/>
  <c r="U10" i="42" s="1"/>
  <c r="H14" i="41"/>
  <c r="H12" i="41" s="1"/>
  <c r="D22" i="41"/>
  <c r="G21" i="41"/>
  <c r="D14" i="41"/>
  <c r="D12" i="41" s="1"/>
  <c r="I22" i="41"/>
  <c r="N21" i="41"/>
  <c r="D33" i="41"/>
  <c r="E33" i="41" s="1"/>
  <c r="D24" i="41"/>
  <c r="E24" i="41" s="1"/>
  <c r="I14" i="41"/>
  <c r="I12" i="41" s="1"/>
  <c r="D31" i="41"/>
  <c r="E31" i="41" s="1"/>
  <c r="R16" i="41"/>
  <c r="D30" i="41"/>
  <c r="E30" i="41" s="1"/>
  <c r="E17" i="41"/>
  <c r="E13" i="41"/>
  <c r="O21" i="41"/>
  <c r="I21" i="41" s="1"/>
  <c r="AH10" i="40"/>
  <c r="H30" i="40"/>
  <c r="D24" i="40"/>
  <c r="E24" i="40" s="1"/>
  <c r="D22" i="40"/>
  <c r="N12" i="40"/>
  <c r="G33" i="40"/>
  <c r="M16" i="40"/>
  <c r="G21" i="40"/>
  <c r="I24" i="40"/>
  <c r="N21" i="40"/>
  <c r="O21" i="40"/>
  <c r="D14" i="40"/>
  <c r="E14" i="40" s="1"/>
  <c r="D31" i="40"/>
  <c r="E31" i="40" s="1"/>
  <c r="H12" i="40"/>
  <c r="AI12" i="40"/>
  <c r="AI10" i="40" s="1"/>
  <c r="N33" i="40"/>
  <c r="D30" i="40"/>
  <c r="O12" i="40"/>
  <c r="D12" i="40"/>
  <c r="O33" i="40"/>
  <c r="I33" i="40" s="1"/>
  <c r="AJ12" i="40"/>
  <c r="AJ10" i="40" s="1"/>
  <c r="AH13" i="3"/>
  <c r="M29" i="3"/>
  <c r="AI10" i="42" l="1"/>
  <c r="I22" i="44"/>
  <c r="E12" i="40"/>
  <c r="E24" i="42"/>
  <c r="E19" i="43"/>
  <c r="E13" i="43"/>
  <c r="E12" i="43" s="1"/>
  <c r="I16" i="45"/>
  <c r="I21" i="40"/>
  <c r="I22" i="42"/>
  <c r="E21" i="43"/>
  <c r="AI10" i="43"/>
  <c r="E30" i="40"/>
  <c r="E12" i="42"/>
  <c r="E18" i="43"/>
  <c r="AI10" i="44"/>
  <c r="AI10" i="41"/>
  <c r="H33" i="40"/>
  <c r="E17" i="43"/>
  <c r="H33" i="45"/>
  <c r="D16" i="45"/>
  <c r="D33" i="45"/>
  <c r="E33" i="45" s="1"/>
  <c r="O16" i="44"/>
  <c r="D22" i="44"/>
  <c r="D16" i="44" s="1"/>
  <c r="D33" i="44"/>
  <c r="E33" i="44" s="1"/>
  <c r="I16" i="44"/>
  <c r="D22" i="43"/>
  <c r="D16" i="43" s="1"/>
  <c r="G16" i="43"/>
  <c r="I22" i="43"/>
  <c r="I16" i="43" s="1"/>
  <c r="D33" i="43"/>
  <c r="H33" i="43"/>
  <c r="E33" i="43" s="1"/>
  <c r="I33" i="43"/>
  <c r="E19" i="42"/>
  <c r="D22" i="42"/>
  <c r="D16" i="42" s="1"/>
  <c r="G16" i="42"/>
  <c r="O16" i="42"/>
  <c r="D33" i="42"/>
  <c r="E33" i="42" s="1"/>
  <c r="O16" i="41"/>
  <c r="E14" i="41"/>
  <c r="E12" i="41" s="1"/>
  <c r="D21" i="41"/>
  <c r="G16" i="41"/>
  <c r="I16" i="41" s="1"/>
  <c r="H21" i="41"/>
  <c r="H21" i="40"/>
  <c r="D21" i="40"/>
  <c r="G16" i="40"/>
  <c r="O16" i="40"/>
  <c r="D33" i="40"/>
  <c r="E33" i="40" s="1"/>
  <c r="M20" i="3"/>
  <c r="E21" i="40" l="1"/>
  <c r="I16" i="42"/>
  <c r="D16" i="41"/>
  <c r="E21" i="41"/>
  <c r="I16" i="40"/>
  <c r="D16" i="40"/>
  <c r="O20" i="3"/>
  <c r="Y16" i="3"/>
  <c r="AA16" i="3" s="1"/>
  <c r="V16" i="3"/>
  <c r="X16" i="3" s="1"/>
  <c r="M31" i="3" l="1"/>
  <c r="M30" i="3"/>
  <c r="G30" i="3" l="1"/>
  <c r="O30" i="3"/>
  <c r="I30" i="3" s="1"/>
  <c r="N31" i="3"/>
  <c r="O31" i="3"/>
  <c r="D30" i="3"/>
  <c r="N30" i="3"/>
  <c r="H30" i="3" s="1"/>
  <c r="E30" i="3" s="1"/>
  <c r="G31" i="3"/>
  <c r="N20" i="3"/>
  <c r="M27" i="3"/>
  <c r="M19" i="3"/>
  <c r="M18" i="3"/>
  <c r="M17" i="3"/>
  <c r="M13" i="3"/>
  <c r="M14" i="3"/>
  <c r="I31" i="3" l="1"/>
  <c r="N14" i="3"/>
  <c r="O14" i="3"/>
  <c r="N13" i="3"/>
  <c r="O13" i="3"/>
  <c r="G17" i="3"/>
  <c r="D17" i="3" s="1"/>
  <c r="O17" i="3"/>
  <c r="I17" i="3" s="1"/>
  <c r="N18" i="3"/>
  <c r="O18" i="3"/>
  <c r="N19" i="3"/>
  <c r="O19" i="3"/>
  <c r="D31" i="3"/>
  <c r="N17" i="3"/>
  <c r="H17" i="3" s="1"/>
  <c r="M12" i="3"/>
  <c r="E17" i="3" l="1"/>
  <c r="O12" i="3"/>
  <c r="G29" i="3"/>
  <c r="D29" i="3" l="1"/>
  <c r="E29" i="3" s="1"/>
  <c r="S33" i="3"/>
  <c r="M50" i="38" l="1"/>
  <c r="M49" i="38"/>
  <c r="M48" i="38"/>
  <c r="M51" i="38" s="1"/>
  <c r="N51" i="38" s="1"/>
  <c r="Z44" i="38"/>
  <c r="Y44" i="38"/>
  <c r="L44" i="38"/>
  <c r="E44" i="38" s="1"/>
  <c r="K44" i="38"/>
  <c r="Z42" i="38"/>
  <c r="Y42" i="38"/>
  <c r="L42" i="38"/>
  <c r="E42" i="38" s="1"/>
  <c r="K42" i="38"/>
  <c r="Z40" i="38"/>
  <c r="Y40" i="38"/>
  <c r="E40" i="38" s="1"/>
  <c r="K40" i="38"/>
  <c r="G40" i="38" s="1"/>
  <c r="Z38" i="38"/>
  <c r="Y38" i="38"/>
  <c r="L38" i="38"/>
  <c r="E38" i="38" s="1"/>
  <c r="K38" i="38"/>
  <c r="G38" i="38" s="1"/>
  <c r="Z36" i="38"/>
  <c r="Y36" i="38"/>
  <c r="O36" i="38"/>
  <c r="M36" i="38"/>
  <c r="Y34" i="38"/>
  <c r="K34" i="38"/>
  <c r="D33" i="38"/>
  <c r="E33" i="38" s="1"/>
  <c r="Y32" i="38"/>
  <c r="O32" i="38"/>
  <c r="O30" i="38" s="1"/>
  <c r="Y31" i="38"/>
  <c r="K31" i="38"/>
  <c r="G31" i="38" s="1"/>
  <c r="AE30" i="38"/>
  <c r="AD30" i="38"/>
  <c r="AC30" i="38"/>
  <c r="AB30" i="38"/>
  <c r="AA30" i="38"/>
  <c r="Z30" i="38"/>
  <c r="W30" i="38"/>
  <c r="X30" i="38" s="1"/>
  <c r="V30" i="38"/>
  <c r="U30" i="38"/>
  <c r="J30" i="38"/>
  <c r="I30" i="38"/>
  <c r="Y28" i="38"/>
  <c r="Z28" i="38" s="1"/>
  <c r="M28" i="38"/>
  <c r="K28" i="38" s="1"/>
  <c r="Y26" i="38"/>
  <c r="O26" i="38"/>
  <c r="M26" i="38"/>
  <c r="O25" i="38"/>
  <c r="N25" i="38"/>
  <c r="M25" i="38"/>
  <c r="Y24" i="38"/>
  <c r="K24" i="38"/>
  <c r="L24" i="38" s="1"/>
  <c r="I24" i="38"/>
  <c r="Y23" i="38"/>
  <c r="K23" i="38"/>
  <c r="G23" i="38" s="1"/>
  <c r="Y22" i="38"/>
  <c r="K22" i="38"/>
  <c r="K21" i="38"/>
  <c r="G21" i="38" s="1"/>
  <c r="D21" i="38" s="1"/>
  <c r="AC20" i="38"/>
  <c r="AA20" i="38"/>
  <c r="W20" i="38"/>
  <c r="U20" i="38"/>
  <c r="V20" i="38" s="1"/>
  <c r="S20" i="38"/>
  <c r="T20" i="38" s="1"/>
  <c r="Q20" i="38"/>
  <c r="R20" i="38" s="1"/>
  <c r="Y18" i="38"/>
  <c r="Z18" i="38" s="1"/>
  <c r="K18" i="38"/>
  <c r="L18" i="38" s="1"/>
  <c r="Y17" i="38"/>
  <c r="K17" i="38"/>
  <c r="L17" i="38" s="1"/>
  <c r="G17" i="38"/>
  <c r="AE16" i="38"/>
  <c r="AE14" i="38" s="1"/>
  <c r="AC16" i="38"/>
  <c r="AA16" i="38"/>
  <c r="AB16" i="38" s="1"/>
  <c r="W16" i="38"/>
  <c r="X16" i="38" s="1"/>
  <c r="U16" i="38"/>
  <c r="V16" i="38" s="1"/>
  <c r="S16" i="38"/>
  <c r="T16" i="38" s="1"/>
  <c r="Q16" i="38"/>
  <c r="R16" i="38" s="1"/>
  <c r="O16" i="38"/>
  <c r="P16" i="38" s="1"/>
  <c r="M16" i="38"/>
  <c r="I16" i="38"/>
  <c r="J16" i="38" s="1"/>
  <c r="K16" i="38" l="1"/>
  <c r="D23" i="38"/>
  <c r="G24" i="38"/>
  <c r="H17" i="38"/>
  <c r="S14" i="38"/>
  <c r="T14" i="38" s="1"/>
  <c r="W14" i="38"/>
  <c r="X14" i="38" s="1"/>
  <c r="M20" i="38"/>
  <c r="AC14" i="38"/>
  <c r="O20" i="38"/>
  <c r="O14" i="38" s="1"/>
  <c r="Y30" i="38"/>
  <c r="K36" i="38"/>
  <c r="L36" i="38" s="1"/>
  <c r="H40" i="38"/>
  <c r="G18" i="38"/>
  <c r="D18" i="38" s="1"/>
  <c r="K26" i="38"/>
  <c r="G26" i="38" s="1"/>
  <c r="D26" i="38" s="1"/>
  <c r="D40" i="38"/>
  <c r="G44" i="38"/>
  <c r="D44" i="38" s="1"/>
  <c r="Y20" i="38"/>
  <c r="U14" i="38"/>
  <c r="V14" i="38" s="1"/>
  <c r="L16" i="38"/>
  <c r="Z17" i="38"/>
  <c r="L23" i="38"/>
  <c r="H23" i="38" s="1"/>
  <c r="E23" i="38" s="1"/>
  <c r="L34" i="38"/>
  <c r="N16" i="38"/>
  <c r="G42" i="38"/>
  <c r="D42" i="38" s="1"/>
  <c r="D17" i="38"/>
  <c r="Y16" i="38"/>
  <c r="G34" i="38"/>
  <c r="D34" i="38" s="1"/>
  <c r="Q14" i="38"/>
  <c r="R14" i="38" s="1"/>
  <c r="AA14" i="38"/>
  <c r="AB14" i="38" s="1"/>
  <c r="P30" i="38"/>
  <c r="K25" i="38"/>
  <c r="L25" i="38" s="1"/>
  <c r="L22" i="38"/>
  <c r="L28" i="38"/>
  <c r="H38" i="38"/>
  <c r="D31" i="38"/>
  <c r="E31" i="38" s="1"/>
  <c r="G28" i="38"/>
  <c r="D24" i="38"/>
  <c r="D38" i="38"/>
  <c r="V12" i="3"/>
  <c r="W16" i="3"/>
  <c r="Z16" i="3"/>
  <c r="Y12" i="3"/>
  <c r="AA12" i="3" l="1"/>
  <c r="X12" i="3"/>
  <c r="Y10" i="3"/>
  <c r="V10" i="3"/>
  <c r="X10" i="3" s="1"/>
  <c r="D16" i="38"/>
  <c r="Y14" i="38"/>
  <c r="H44" i="38"/>
  <c r="Z16" i="38"/>
  <c r="H18" i="38"/>
  <c r="E18" i="38" s="1"/>
  <c r="G36" i="38"/>
  <c r="H36" i="38" s="1"/>
  <c r="G16" i="38"/>
  <c r="E17" i="38"/>
  <c r="H34" i="38"/>
  <c r="E34" i="38" s="1"/>
  <c r="H42" i="38"/>
  <c r="G25" i="38"/>
  <c r="H25" i="38" s="1"/>
  <c r="K20" i="38"/>
  <c r="D28" i="38"/>
  <c r="Z12" i="3"/>
  <c r="W12" i="3"/>
  <c r="AB12" i="3"/>
  <c r="AB16" i="3"/>
  <c r="AD16" i="3" s="1"/>
  <c r="W10" i="3" l="1"/>
  <c r="Z10" i="3"/>
  <c r="AD12" i="3"/>
  <c r="AA10" i="3"/>
  <c r="AC12" i="3"/>
  <c r="Z14" i="38"/>
  <c r="H16" i="38"/>
  <c r="D36" i="38"/>
  <c r="E36" i="38" s="1"/>
  <c r="E16" i="38"/>
  <c r="D25" i="38"/>
  <c r="Q21" i="3"/>
  <c r="E25" i="38" l="1"/>
  <c r="P24" i="3" l="1"/>
  <c r="M24" i="3" l="1"/>
  <c r="AC16" i="3"/>
  <c r="N24" i="3" l="1"/>
  <c r="O24" i="3"/>
  <c r="G24" i="3"/>
  <c r="G13" i="3"/>
  <c r="I13" i="3" s="1"/>
  <c r="I24" i="3" l="1"/>
  <c r="D13" i="3"/>
  <c r="D24" i="3"/>
  <c r="E122" i="37"/>
  <c r="B122" i="37"/>
  <c r="E121" i="37"/>
  <c r="D120" i="37"/>
  <c r="B120" i="37"/>
  <c r="F119" i="37"/>
  <c r="B119" i="37"/>
  <c r="B118" i="37"/>
  <c r="F116" i="37"/>
  <c r="F112" i="37"/>
  <c r="F108" i="37"/>
  <c r="J107" i="37"/>
  <c r="J106" i="37"/>
  <c r="J105" i="37"/>
  <c r="J104" i="37"/>
  <c r="J103" i="37"/>
  <c r="J102" i="37"/>
  <c r="J101" i="37"/>
  <c r="J100" i="37"/>
  <c r="J99" i="37"/>
  <c r="J98" i="37"/>
  <c r="J97" i="37"/>
  <c r="J96" i="37"/>
  <c r="J95" i="37"/>
  <c r="J94" i="37"/>
  <c r="J93" i="37"/>
  <c r="J92" i="37"/>
  <c r="J91" i="37"/>
  <c r="J90" i="37"/>
  <c r="J89" i="37"/>
  <c r="J88" i="37"/>
  <c r="J87" i="37"/>
  <c r="J86" i="37"/>
  <c r="J85" i="37"/>
  <c r="J84" i="37"/>
  <c r="J83" i="37"/>
  <c r="J82" i="37"/>
  <c r="J81" i="37"/>
  <c r="J80" i="37"/>
  <c r="J79" i="37"/>
  <c r="F76" i="37"/>
  <c r="F72" i="37"/>
  <c r="F59" i="37"/>
  <c r="F56" i="37"/>
  <c r="F52" i="37"/>
  <c r="F49" i="37"/>
  <c r="J48" i="37"/>
  <c r="J47" i="37"/>
  <c r="J46" i="37"/>
  <c r="J45" i="37"/>
  <c r="J44" i="37"/>
  <c r="J43" i="37"/>
  <c r="J42" i="37"/>
  <c r="J41" i="37"/>
  <c r="J40" i="37"/>
  <c r="J39" i="37"/>
  <c r="J38" i="37"/>
  <c r="J37" i="37"/>
  <c r="J36" i="37"/>
  <c r="J35" i="37"/>
  <c r="J34" i="37"/>
  <c r="J33" i="37"/>
  <c r="J32" i="37"/>
  <c r="J31" i="37"/>
  <c r="J30" i="37"/>
  <c r="J29" i="37"/>
  <c r="J28" i="37"/>
  <c r="J27" i="37"/>
  <c r="J26" i="37"/>
  <c r="F23" i="37"/>
  <c r="F11" i="37"/>
  <c r="B5" i="37"/>
  <c r="F58" i="37" l="1"/>
  <c r="J108" i="37"/>
  <c r="K108" i="37" s="1"/>
  <c r="J49" i="37"/>
  <c r="K49" i="37" s="1"/>
  <c r="F10" i="37"/>
  <c r="F9" i="37" s="1"/>
  <c r="L72" i="36"/>
  <c r="L71" i="36"/>
  <c r="L73" i="36" s="1"/>
  <c r="F70" i="36"/>
  <c r="B68" i="36"/>
  <c r="B67" i="36"/>
  <c r="B65" i="36"/>
  <c r="N63" i="36"/>
  <c r="L63" i="36"/>
  <c r="L62" i="36"/>
  <c r="L61" i="36"/>
  <c r="L60" i="36"/>
  <c r="L59" i="36"/>
  <c r="L58" i="36"/>
  <c r="F57" i="36"/>
  <c r="L56" i="36"/>
  <c r="L55" i="36"/>
  <c r="F54" i="36"/>
  <c r="L54" i="36" s="1"/>
  <c r="F53" i="36"/>
  <c r="L52" i="36"/>
  <c r="L51" i="36"/>
  <c r="L50" i="36"/>
  <c r="L49" i="36"/>
  <c r="F48" i="36"/>
  <c r="L48" i="36" s="1"/>
  <c r="L46" i="36"/>
  <c r="L45" i="36"/>
  <c r="L44" i="36"/>
  <c r="L43" i="36"/>
  <c r="F42" i="36"/>
  <c r="L42" i="36" s="1"/>
  <c r="L40" i="36"/>
  <c r="L39" i="36"/>
  <c r="L38" i="36"/>
  <c r="L37" i="36"/>
  <c r="L36" i="36"/>
  <c r="F35" i="36"/>
  <c r="L35" i="36" s="1"/>
  <c r="L32" i="36"/>
  <c r="J32" i="36"/>
  <c r="F31" i="36"/>
  <c r="L30" i="36"/>
  <c r="L29" i="36"/>
  <c r="F28" i="36"/>
  <c r="L27" i="36"/>
  <c r="L26" i="36"/>
  <c r="F25" i="36"/>
  <c r="L23" i="36"/>
  <c r="L19" i="36"/>
  <c r="L18" i="36"/>
  <c r="L17" i="36"/>
  <c r="L16" i="36"/>
  <c r="L15" i="36"/>
  <c r="L14" i="36"/>
  <c r="L13" i="36"/>
  <c r="F12" i="36"/>
  <c r="F11" i="36" s="1"/>
  <c r="B5" i="36"/>
  <c r="E59" i="35"/>
  <c r="B59" i="35"/>
  <c r="E58" i="35"/>
  <c r="D57" i="35"/>
  <c r="B57" i="35"/>
  <c r="B56" i="35"/>
  <c r="B55" i="35"/>
  <c r="N54" i="35"/>
  <c r="N53" i="35"/>
  <c r="N52" i="35"/>
  <c r="N51" i="35"/>
  <c r="N50" i="35"/>
  <c r="N49" i="35"/>
  <c r="N48" i="35"/>
  <c r="N47" i="35"/>
  <c r="N46" i="35"/>
  <c r="F45" i="35"/>
  <c r="N44" i="35"/>
  <c r="N43" i="35"/>
  <c r="N42" i="35"/>
  <c r="N41" i="35"/>
  <c r="N40" i="35"/>
  <c r="N39" i="35"/>
  <c r="N38" i="35"/>
  <c r="N37" i="35"/>
  <c r="F36" i="35"/>
  <c r="N34" i="35"/>
  <c r="F33" i="35"/>
  <c r="N32" i="35"/>
  <c r="F31" i="35"/>
  <c r="N30" i="35"/>
  <c r="N29" i="35"/>
  <c r="N28" i="35"/>
  <c r="N27" i="35"/>
  <c r="N26" i="35"/>
  <c r="N25" i="35"/>
  <c r="N24" i="35"/>
  <c r="N23" i="35"/>
  <c r="N22" i="35"/>
  <c r="F21" i="35"/>
  <c r="N20" i="35"/>
  <c r="N19" i="35"/>
  <c r="N18" i="35"/>
  <c r="N17" i="35"/>
  <c r="N16" i="35"/>
  <c r="N15" i="35"/>
  <c r="N14" i="35"/>
  <c r="N13" i="35"/>
  <c r="F12" i="35"/>
  <c r="B5" i="35"/>
  <c r="E119" i="34"/>
  <c r="B119" i="34"/>
  <c r="E118" i="34"/>
  <c r="D117" i="34"/>
  <c r="B117" i="34"/>
  <c r="B116" i="34"/>
  <c r="B115" i="34"/>
  <c r="J114" i="34"/>
  <c r="F113" i="34"/>
  <c r="J112" i="34"/>
  <c r="J111" i="34"/>
  <c r="J110" i="34"/>
  <c r="F109" i="34"/>
  <c r="J108" i="34"/>
  <c r="J107" i="34"/>
  <c r="J106" i="34"/>
  <c r="F105" i="34"/>
  <c r="J104" i="34"/>
  <c r="J103" i="34"/>
  <c r="J102" i="34"/>
  <c r="J101" i="34"/>
  <c r="J100" i="34"/>
  <c r="J99" i="34"/>
  <c r="J98" i="34"/>
  <c r="J97" i="34"/>
  <c r="J96" i="34"/>
  <c r="J95" i="34"/>
  <c r="J94" i="34"/>
  <c r="J93" i="34"/>
  <c r="J92" i="34"/>
  <c r="J91" i="34"/>
  <c r="J90" i="34"/>
  <c r="J89" i="34"/>
  <c r="J88" i="34"/>
  <c r="J87" i="34"/>
  <c r="J86" i="34"/>
  <c r="J85" i="34"/>
  <c r="J84" i="34"/>
  <c r="J83" i="34"/>
  <c r="J82" i="34"/>
  <c r="J81" i="34"/>
  <c r="J80" i="34"/>
  <c r="J79" i="34"/>
  <c r="J78" i="34"/>
  <c r="J77" i="34"/>
  <c r="J76" i="34"/>
  <c r="F75" i="34"/>
  <c r="J74" i="34"/>
  <c r="J73" i="34"/>
  <c r="J72" i="34"/>
  <c r="F71" i="34"/>
  <c r="J71" i="34" s="1"/>
  <c r="J70" i="34"/>
  <c r="J69" i="34"/>
  <c r="J68" i="34"/>
  <c r="J67" i="34"/>
  <c r="J66" i="34"/>
  <c r="J65" i="34"/>
  <c r="J64" i="34"/>
  <c r="J63" i="34"/>
  <c r="J62" i="34"/>
  <c r="J61" i="34"/>
  <c r="J60" i="34"/>
  <c r="J59" i="34"/>
  <c r="F58" i="34"/>
  <c r="J56" i="34"/>
  <c r="F55" i="34"/>
  <c r="J54" i="34"/>
  <c r="J53" i="34"/>
  <c r="J52" i="34"/>
  <c r="F51" i="34"/>
  <c r="J50" i="34"/>
  <c r="J49" i="34"/>
  <c r="F48" i="34"/>
  <c r="J47" i="34"/>
  <c r="J46" i="34"/>
  <c r="J45" i="34"/>
  <c r="J44" i="34"/>
  <c r="J43" i="34"/>
  <c r="J42" i="34"/>
  <c r="J41" i="34"/>
  <c r="J40" i="34"/>
  <c r="J39" i="34"/>
  <c r="J38" i="34"/>
  <c r="J37" i="34"/>
  <c r="J36" i="34"/>
  <c r="J35" i="34"/>
  <c r="J34" i="34"/>
  <c r="J33" i="34"/>
  <c r="J32" i="34"/>
  <c r="J31" i="34"/>
  <c r="J30" i="34"/>
  <c r="J29" i="34"/>
  <c r="J28" i="34"/>
  <c r="J27" i="34"/>
  <c r="J26" i="34"/>
  <c r="J25" i="34"/>
  <c r="J24" i="34"/>
  <c r="F23" i="34"/>
  <c r="J22" i="34"/>
  <c r="J21" i="34"/>
  <c r="J20" i="34"/>
  <c r="J19" i="34"/>
  <c r="J18" i="34"/>
  <c r="J17" i="34"/>
  <c r="J16" i="34"/>
  <c r="J15" i="34"/>
  <c r="J14" i="34"/>
  <c r="J13" i="34"/>
  <c r="J12" i="34"/>
  <c r="F11" i="34"/>
  <c r="B5" i="34"/>
  <c r="N35" i="35" l="1"/>
  <c r="F34" i="36"/>
  <c r="F10" i="34"/>
  <c r="N113" i="34"/>
  <c r="O35" i="35"/>
  <c r="N49" i="34"/>
  <c r="F24" i="36"/>
  <c r="F57" i="34"/>
  <c r="F9" i="34" s="1"/>
  <c r="N45" i="35"/>
  <c r="O45" i="35" s="1"/>
  <c r="F35" i="35"/>
  <c r="N21" i="35"/>
  <c r="O21" i="35" s="1"/>
  <c r="F11" i="35"/>
  <c r="N31" i="35"/>
  <c r="O31" i="35" s="1"/>
  <c r="J57" i="34"/>
  <c r="K57" i="34" s="1"/>
  <c r="M73" i="36"/>
  <c r="J75" i="34"/>
  <c r="K75" i="34" s="1"/>
  <c r="N55" i="35"/>
  <c r="O55" i="35" s="1"/>
  <c r="J23" i="34"/>
  <c r="K23" i="34" s="1"/>
  <c r="J48" i="34"/>
  <c r="K48" i="34" s="1"/>
  <c r="J115" i="34"/>
  <c r="K115" i="34" s="1"/>
  <c r="F47" i="36"/>
  <c r="L64" i="36"/>
  <c r="N64" i="36" s="1"/>
  <c r="J105" i="34"/>
  <c r="K105" i="34" s="1"/>
  <c r="F41" i="36"/>
  <c r="F33" i="36" s="1"/>
  <c r="F10" i="36" s="1"/>
  <c r="O63" i="36" l="1"/>
  <c r="M64" i="36"/>
  <c r="F10" i="35"/>
  <c r="F49" i="33"/>
  <c r="B49" i="33"/>
  <c r="D48" i="33"/>
  <c r="B48" i="33"/>
  <c r="B46" i="33"/>
  <c r="B45" i="33"/>
  <c r="K41" i="33"/>
  <c r="F40" i="33"/>
  <c r="K40" i="33" s="1"/>
  <c r="K39" i="33"/>
  <c r="F38" i="33"/>
  <c r="N38" i="33" s="1"/>
  <c r="F36" i="33"/>
  <c r="K35" i="33"/>
  <c r="K34" i="33"/>
  <c r="K33" i="33"/>
  <c r="K32" i="33"/>
  <c r="K31" i="33"/>
  <c r="K30" i="33"/>
  <c r="K29" i="33"/>
  <c r="K28" i="33"/>
  <c r="K27" i="33"/>
  <c r="K26" i="33"/>
  <c r="K25" i="33"/>
  <c r="K24" i="33"/>
  <c r="K23" i="33"/>
  <c r="K22" i="33"/>
  <c r="F21" i="33"/>
  <c r="K20" i="33"/>
  <c r="K19" i="33"/>
  <c r="K18" i="33"/>
  <c r="K17" i="33"/>
  <c r="F16" i="33"/>
  <c r="F11" i="33" s="1"/>
  <c r="K15" i="33"/>
  <c r="K14" i="33"/>
  <c r="K13" i="33"/>
  <c r="K12" i="33"/>
  <c r="B6" i="33"/>
  <c r="E52" i="32"/>
  <c r="B52" i="32"/>
  <c r="E51" i="32"/>
  <c r="C51" i="32"/>
  <c r="D50" i="32"/>
  <c r="B49" i="32"/>
  <c r="B48" i="32"/>
  <c r="K47" i="32"/>
  <c r="K46" i="32"/>
  <c r="K45" i="32"/>
  <c r="K44" i="32"/>
  <c r="K43" i="32"/>
  <c r="K42" i="32"/>
  <c r="K41" i="32"/>
  <c r="K40" i="32"/>
  <c r="K39" i="32"/>
  <c r="K38" i="32"/>
  <c r="K37" i="32"/>
  <c r="K36" i="32"/>
  <c r="K35" i="32"/>
  <c r="K34" i="32"/>
  <c r="K33" i="32"/>
  <c r="K32" i="32"/>
  <c r="F31" i="32"/>
  <c r="K30" i="32"/>
  <c r="K29" i="32"/>
  <c r="K28" i="32"/>
  <c r="K27" i="32"/>
  <c r="K26" i="32"/>
  <c r="K25" i="32"/>
  <c r="K24" i="32"/>
  <c r="K23" i="32"/>
  <c r="K22" i="32"/>
  <c r="K21" i="32"/>
  <c r="K20" i="32"/>
  <c r="K19" i="32"/>
  <c r="K18" i="32"/>
  <c r="K17" i="32"/>
  <c r="K16" i="32"/>
  <c r="K15" i="32"/>
  <c r="K14" i="32"/>
  <c r="K13" i="32"/>
  <c r="K12" i="32"/>
  <c r="F11" i="32"/>
  <c r="J8" i="32"/>
  <c r="B5" i="32"/>
  <c r="D53" i="31"/>
  <c r="B53" i="31"/>
  <c r="D52" i="31"/>
  <c r="B52" i="31"/>
  <c r="D51" i="31"/>
  <c r="B51" i="31"/>
  <c r="B50" i="31"/>
  <c r="B49" i="31"/>
  <c r="K47" i="31"/>
  <c r="K46" i="31"/>
  <c r="K45" i="31"/>
  <c r="K44" i="31"/>
  <c r="K43" i="31"/>
  <c r="K42" i="31"/>
  <c r="K41" i="31"/>
  <c r="K40" i="31"/>
  <c r="K39" i="31"/>
  <c r="K38" i="31"/>
  <c r="K37" i="31"/>
  <c r="K36" i="31"/>
  <c r="K35" i="31"/>
  <c r="F34" i="31"/>
  <c r="K33" i="31"/>
  <c r="K32" i="31"/>
  <c r="F31" i="31"/>
  <c r="K31" i="31" s="1"/>
  <c r="N30" i="31"/>
  <c r="K30" i="31"/>
  <c r="K29" i="31"/>
  <c r="F28" i="31"/>
  <c r="K28" i="31" s="1"/>
  <c r="K27" i="31"/>
  <c r="K26" i="31"/>
  <c r="K25" i="31"/>
  <c r="K24" i="31"/>
  <c r="K23" i="31"/>
  <c r="K22" i="31"/>
  <c r="K21" i="31"/>
  <c r="K20" i="31"/>
  <c r="K19" i="31"/>
  <c r="K18" i="31"/>
  <c r="K17" i="31"/>
  <c r="K16" i="31"/>
  <c r="K15" i="31"/>
  <c r="K14" i="31"/>
  <c r="K13" i="31"/>
  <c r="K12" i="31"/>
  <c r="K11" i="31"/>
  <c r="K10" i="31"/>
  <c r="B4" i="31"/>
  <c r="F9" i="31" l="1"/>
  <c r="F8" i="31" s="1"/>
  <c r="K48" i="32"/>
  <c r="L48" i="32" s="1"/>
  <c r="F10" i="32"/>
  <c r="K38" i="33"/>
  <c r="L38" i="33" s="1"/>
  <c r="K45" i="33"/>
  <c r="L45" i="33" s="1"/>
  <c r="J28" i="38" s="1"/>
  <c r="H28" i="38" s="1"/>
  <c r="E28" i="38" s="1"/>
  <c r="K34" i="31"/>
  <c r="L34" i="31" s="1"/>
  <c r="K31" i="32"/>
  <c r="L31" i="32" s="1"/>
  <c r="K48" i="31"/>
  <c r="L48" i="31" s="1"/>
  <c r="F10" i="33"/>
  <c r="K16" i="33"/>
  <c r="K21" i="33" s="1"/>
  <c r="L21" i="33" s="1"/>
  <c r="F166" i="23" l="1"/>
  <c r="G5" i="29" l="1"/>
  <c r="G4" i="29"/>
  <c r="B6" i="29"/>
  <c r="J17" i="30" l="1"/>
  <c r="I39" i="30"/>
  <c r="H18" i="30"/>
  <c r="H19" i="30"/>
  <c r="H20" i="30"/>
  <c r="H21" i="30"/>
  <c r="H22" i="30"/>
  <c r="H23" i="30"/>
  <c r="H24" i="30"/>
  <c r="H25" i="30"/>
  <c r="H26" i="30"/>
  <c r="H27" i="30"/>
  <c r="H28" i="30"/>
  <c r="H29" i="30"/>
  <c r="H30" i="30"/>
  <c r="H31" i="30"/>
  <c r="H32" i="30"/>
  <c r="H33" i="30"/>
  <c r="H34" i="30"/>
  <c r="H35" i="30"/>
  <c r="H36" i="30"/>
  <c r="H37" i="30"/>
  <c r="H38" i="30"/>
  <c r="H15" i="30"/>
  <c r="H16" i="30"/>
  <c r="H14" i="30"/>
  <c r="H13" i="25"/>
  <c r="H14" i="25"/>
  <c r="H18" i="19"/>
  <c r="H17" i="19"/>
  <c r="H14" i="19"/>
  <c r="H13" i="19"/>
  <c r="H15" i="21"/>
  <c r="H14" i="21"/>
  <c r="H13" i="21"/>
  <c r="F66" i="21"/>
  <c r="H17" i="30" l="1"/>
  <c r="I17" i="30" s="1"/>
  <c r="H18" i="20"/>
  <c r="H17" i="20"/>
  <c r="H16" i="20"/>
  <c r="H15" i="20"/>
  <c r="H12" i="26" l="1"/>
  <c r="H19" i="19"/>
  <c r="H20" i="19"/>
  <c r="H21" i="19"/>
  <c r="H22" i="19"/>
  <c r="H23" i="19"/>
  <c r="H24" i="19"/>
  <c r="H25" i="19"/>
  <c r="H27" i="19"/>
  <c r="H28" i="19"/>
  <c r="H29" i="19"/>
  <c r="H30" i="19"/>
  <c r="H38" i="20"/>
  <c r="H37" i="20"/>
  <c r="H36" i="20"/>
  <c r="H35" i="20"/>
  <c r="H12" i="19"/>
  <c r="H31" i="25" l="1"/>
  <c r="H32" i="25" s="1"/>
  <c r="N36" i="25" l="1"/>
  <c r="N37" i="25" s="1"/>
  <c r="N38" i="25" s="1"/>
  <c r="H28" i="25"/>
  <c r="E14" i="29"/>
  <c r="D14" i="29"/>
  <c r="C14" i="29"/>
  <c r="B14" i="29"/>
  <c r="G12" i="29"/>
  <c r="H13" i="26"/>
  <c r="H14" i="26"/>
  <c r="H15" i="26"/>
  <c r="H12" i="18"/>
  <c r="C6" i="29"/>
  <c r="D6" i="29"/>
  <c r="E6" i="29"/>
  <c r="F6" i="29"/>
  <c r="G6" i="29" l="1"/>
  <c r="G7" i="29" s="1"/>
  <c r="G8" i="29" l="1"/>
  <c r="F13" i="29"/>
  <c r="F14" i="29" s="1"/>
  <c r="G14" i="29" s="1"/>
  <c r="G15" i="29" s="1"/>
  <c r="J38" i="19"/>
  <c r="J37" i="19"/>
  <c r="J39" i="19" s="1"/>
  <c r="J35" i="19"/>
  <c r="H15" i="25" l="1"/>
  <c r="H16" i="25"/>
  <c r="H17" i="25"/>
  <c r="H18" i="25"/>
  <c r="H19" i="25"/>
  <c r="H20" i="25"/>
  <c r="H21" i="25"/>
  <c r="H22" i="25"/>
  <c r="H23" i="25"/>
  <c r="H24" i="25"/>
  <c r="H25" i="25"/>
  <c r="H26" i="25" l="1"/>
  <c r="I26" i="25" s="1"/>
  <c r="H32" i="18" l="1"/>
  <c r="J97" i="16"/>
  <c r="J48" i="16"/>
  <c r="H14" i="16"/>
  <c r="H42" i="26" l="1"/>
  <c r="H35" i="26"/>
  <c r="H36" i="26"/>
  <c r="H37" i="26"/>
  <c r="H38" i="26"/>
  <c r="H39" i="26"/>
  <c r="H21" i="26"/>
  <c r="H22" i="26"/>
  <c r="H23" i="26"/>
  <c r="H24" i="26"/>
  <c r="H25" i="26"/>
  <c r="H26" i="26"/>
  <c r="H27" i="26"/>
  <c r="H28" i="26"/>
  <c r="H29" i="26"/>
  <c r="H30" i="26"/>
  <c r="H31" i="26"/>
  <c r="H32" i="26"/>
  <c r="H33" i="26"/>
  <c r="H16" i="26"/>
  <c r="H17" i="26"/>
  <c r="H18" i="26"/>
  <c r="H19" i="26"/>
  <c r="H34" i="26" l="1"/>
  <c r="I34" i="26" s="1"/>
  <c r="H20" i="26"/>
  <c r="I20" i="26" s="1"/>
  <c r="H40" i="26"/>
  <c r="I40" i="26" s="1"/>
  <c r="G39" i="28"/>
  <c r="G40" i="28"/>
  <c r="F29" i="28"/>
  <c r="F31" i="28"/>
  <c r="F28" i="28"/>
  <c r="E51" i="28"/>
  <c r="G41" i="28" l="1"/>
  <c r="G42" i="28" s="1"/>
  <c r="E52" i="28"/>
  <c r="J71" i="21" l="1"/>
  <c r="J69" i="21"/>
  <c r="H88" i="24" l="1"/>
  <c r="G87" i="24"/>
  <c r="F87" i="24"/>
  <c r="H86" i="24"/>
  <c r="G85" i="24"/>
  <c r="F85" i="24"/>
  <c r="H84" i="24"/>
  <c r="G83" i="24"/>
  <c r="F83" i="24"/>
  <c r="H82" i="24"/>
  <c r="G81" i="24"/>
  <c r="F81" i="24"/>
  <c r="H80" i="24"/>
  <c r="H79" i="24"/>
  <c r="H78" i="24"/>
  <c r="H77" i="24"/>
  <c r="H76" i="24"/>
  <c r="G74" i="24"/>
  <c r="F74" i="24"/>
  <c r="H73" i="24"/>
  <c r="G72" i="24"/>
  <c r="F72" i="24"/>
  <c r="H71" i="24"/>
  <c r="H70" i="24"/>
  <c r="H69" i="24"/>
  <c r="H68" i="24"/>
  <c r="H67" i="24"/>
  <c r="H66" i="24"/>
  <c r="H65" i="24"/>
  <c r="G64" i="24"/>
  <c r="F64" i="24"/>
  <c r="H63" i="24"/>
  <c r="H62" i="24"/>
  <c r="H61" i="24"/>
  <c r="H60" i="24"/>
  <c r="H59" i="24"/>
  <c r="H58" i="24"/>
  <c r="G57" i="24"/>
  <c r="F57" i="24"/>
  <c r="H56" i="24"/>
  <c r="H55" i="24"/>
  <c r="H54" i="24"/>
  <c r="H52" i="24"/>
  <c r="G51" i="24"/>
  <c r="F51" i="24"/>
  <c r="H50" i="24"/>
  <c r="G49" i="24"/>
  <c r="F49" i="24"/>
  <c r="H48" i="24"/>
  <c r="G47" i="24"/>
  <c r="F47" i="24"/>
  <c r="H46" i="24"/>
  <c r="H45" i="24"/>
  <c r="G45" i="24"/>
  <c r="H44" i="24"/>
  <c r="G43" i="24"/>
  <c r="J50" i="24" s="1"/>
  <c r="F43" i="24"/>
  <c r="H42" i="24"/>
  <c r="H41" i="24"/>
  <c r="G40" i="24"/>
  <c r="F40" i="24"/>
  <c r="H39" i="24"/>
  <c r="H38" i="24"/>
  <c r="H37" i="24"/>
  <c r="G36" i="24"/>
  <c r="F36" i="24"/>
  <c r="H34" i="24"/>
  <c r="G33" i="24"/>
  <c r="F33" i="24"/>
  <c r="H32" i="24"/>
  <c r="H31" i="24"/>
  <c r="H30" i="24"/>
  <c r="H29" i="24"/>
  <c r="H28" i="24"/>
  <c r="H27" i="24"/>
  <c r="H26" i="24"/>
  <c r="H25" i="24"/>
  <c r="G24" i="24"/>
  <c r="F24" i="24"/>
  <c r="H23" i="24"/>
  <c r="H22" i="24"/>
  <c r="H21" i="24"/>
  <c r="H20" i="24"/>
  <c r="H19" i="24"/>
  <c r="H18" i="24"/>
  <c r="G17" i="24"/>
  <c r="F17" i="24"/>
  <c r="G14" i="24"/>
  <c r="F14" i="24"/>
  <c r="F35" i="24" l="1"/>
  <c r="G35" i="24"/>
  <c r="H81" i="24"/>
  <c r="I81" i="24" s="1"/>
  <c r="K87" i="24"/>
  <c r="H87" i="24"/>
  <c r="I87" i="24" s="1"/>
  <c r="J34" i="24"/>
  <c r="F53" i="24"/>
  <c r="J74" i="24"/>
  <c r="J47" i="24"/>
  <c r="H43" i="24"/>
  <c r="I43" i="24" s="1"/>
  <c r="H74" i="24"/>
  <c r="H35" i="24"/>
  <c r="I35" i="24" s="1"/>
  <c r="F13" i="24"/>
  <c r="G13" i="24"/>
  <c r="J43" i="24"/>
  <c r="H51" i="24"/>
  <c r="I50" i="24" s="1"/>
  <c r="G53" i="24"/>
  <c r="F9" i="24" l="1"/>
  <c r="I34" i="24"/>
  <c r="I74" i="24"/>
  <c r="G9" i="24"/>
  <c r="S28" i="3"/>
  <c r="S22" i="3"/>
  <c r="S21" i="3"/>
  <c r="P33" i="3"/>
  <c r="P22" i="3"/>
  <c r="P21" i="3"/>
  <c r="H227" i="23"/>
  <c r="F226" i="23"/>
  <c r="E226" i="23"/>
  <c r="H225" i="23"/>
  <c r="F224" i="23"/>
  <c r="E224" i="23"/>
  <c r="H223" i="23"/>
  <c r="H222" i="23"/>
  <c r="H221" i="23"/>
  <c r="H220" i="23"/>
  <c r="H219" i="23"/>
  <c r="F218" i="23"/>
  <c r="E218" i="23"/>
  <c r="H218" i="23" s="1"/>
  <c r="H217" i="23"/>
  <c r="H216" i="23"/>
  <c r="H215" i="23"/>
  <c r="H214" i="23"/>
  <c r="H213" i="23"/>
  <c r="H212" i="23"/>
  <c r="F211" i="23"/>
  <c r="E211" i="23"/>
  <c r="H210" i="23"/>
  <c r="F209" i="23"/>
  <c r="E209" i="23"/>
  <c r="F208" i="23"/>
  <c r="E208" i="23"/>
  <c r="E202" i="23" s="1"/>
  <c r="E201" i="23" s="1"/>
  <c r="H207" i="23"/>
  <c r="H206" i="23"/>
  <c r="H205" i="23"/>
  <c r="F205" i="23"/>
  <c r="H204" i="23"/>
  <c r="F204" i="23"/>
  <c r="H203" i="23"/>
  <c r="H200" i="23"/>
  <c r="H199" i="23"/>
  <c r="F198" i="23"/>
  <c r="E198" i="23"/>
  <c r="H197" i="23"/>
  <c r="H196" i="23"/>
  <c r="F195" i="23"/>
  <c r="E195" i="23"/>
  <c r="H194" i="23"/>
  <c r="H193" i="23"/>
  <c r="F192" i="23"/>
  <c r="E192" i="23"/>
  <c r="H191" i="23"/>
  <c r="H190" i="23"/>
  <c r="H189" i="23"/>
  <c r="H188" i="23"/>
  <c r="H187" i="23"/>
  <c r="H186" i="23"/>
  <c r="H185" i="23"/>
  <c r="H184" i="23"/>
  <c r="H183" i="23"/>
  <c r="H182" i="23"/>
  <c r="H181" i="23"/>
  <c r="H180" i="23"/>
  <c r="H179" i="23"/>
  <c r="H178" i="23"/>
  <c r="F177" i="23"/>
  <c r="E177" i="23"/>
  <c r="H175" i="23"/>
  <c r="H174" i="23"/>
  <c r="H173" i="23"/>
  <c r="H172" i="23"/>
  <c r="F171" i="23"/>
  <c r="E171" i="23"/>
  <c r="H170" i="23"/>
  <c r="H169" i="23"/>
  <c r="H168" i="23"/>
  <c r="F167" i="23"/>
  <c r="E167" i="23"/>
  <c r="H166" i="23"/>
  <c r="H165" i="23"/>
  <c r="H164" i="23"/>
  <c r="F163" i="23"/>
  <c r="E163" i="23"/>
  <c r="H162" i="23"/>
  <c r="H161" i="23"/>
  <c r="H160" i="23"/>
  <c r="H159" i="23"/>
  <c r="H158" i="23"/>
  <c r="F157" i="23"/>
  <c r="E157" i="23"/>
  <c r="H156" i="23"/>
  <c r="H155" i="23"/>
  <c r="H154" i="23"/>
  <c r="H153" i="23"/>
  <c r="H152" i="23"/>
  <c r="H151" i="23"/>
  <c r="H150" i="23"/>
  <c r="H149" i="23"/>
  <c r="H148" i="23"/>
  <c r="H147" i="23"/>
  <c r="H146" i="23"/>
  <c r="H145" i="23"/>
  <c r="H144" i="23"/>
  <c r="H143" i="23"/>
  <c r="H142" i="23"/>
  <c r="H141" i="23"/>
  <c r="H140" i="23"/>
  <c r="H139" i="23"/>
  <c r="H138" i="23"/>
  <c r="F137" i="23"/>
  <c r="E137" i="23"/>
  <c r="H137" i="23" s="1"/>
  <c r="F136" i="23"/>
  <c r="E136" i="23"/>
  <c r="H136" i="23" s="1"/>
  <c r="F135" i="23"/>
  <c r="E135" i="23"/>
  <c r="H135" i="23" s="1"/>
  <c r="H134" i="23"/>
  <c r="F133" i="23"/>
  <c r="E133" i="23"/>
  <c r="H133" i="23" s="1"/>
  <c r="F132" i="23"/>
  <c r="E132" i="23"/>
  <c r="F131" i="23"/>
  <c r="E131" i="23"/>
  <c r="H131" i="23" s="1"/>
  <c r="F130" i="23"/>
  <c r="E130" i="23"/>
  <c r="H130" i="23" s="1"/>
  <c r="F129" i="23"/>
  <c r="E129" i="23"/>
  <c r="H129" i="23" s="1"/>
  <c r="F128" i="23"/>
  <c r="E128" i="23"/>
  <c r="H128" i="23" s="1"/>
  <c r="F127" i="23"/>
  <c r="E127" i="23"/>
  <c r="H127" i="23" s="1"/>
  <c r="F126" i="23"/>
  <c r="E126" i="23"/>
  <c r="H126" i="23" s="1"/>
  <c r="H124" i="23"/>
  <c r="H123" i="23"/>
  <c r="F122" i="23"/>
  <c r="E122" i="23"/>
  <c r="H121" i="23"/>
  <c r="H120" i="23"/>
  <c r="H119" i="23"/>
  <c r="H118" i="23"/>
  <c r="H117" i="23"/>
  <c r="H116" i="23"/>
  <c r="H115" i="23"/>
  <c r="H114" i="23"/>
  <c r="H113" i="23"/>
  <c r="H112" i="23"/>
  <c r="H111" i="23"/>
  <c r="H110" i="23"/>
  <c r="H109" i="23"/>
  <c r="H108" i="23"/>
  <c r="H107" i="23"/>
  <c r="H106" i="23"/>
  <c r="H105" i="23"/>
  <c r="F104" i="23"/>
  <c r="E104" i="23"/>
  <c r="H101" i="23"/>
  <c r="F100" i="23"/>
  <c r="E100" i="23"/>
  <c r="H99" i="23"/>
  <c r="H98" i="23"/>
  <c r="F97" i="23"/>
  <c r="E97" i="23"/>
  <c r="H96" i="23"/>
  <c r="H95" i="23"/>
  <c r="H94" i="23"/>
  <c r="F93" i="23"/>
  <c r="E93" i="23"/>
  <c r="H92" i="23"/>
  <c r="H91" i="23"/>
  <c r="H90" i="23"/>
  <c r="H89" i="23"/>
  <c r="H88" i="23"/>
  <c r="H87" i="23"/>
  <c r="F86" i="23"/>
  <c r="E86" i="23"/>
  <c r="H85" i="23"/>
  <c r="F84" i="23"/>
  <c r="E84" i="23"/>
  <c r="F83" i="23"/>
  <c r="E83" i="23"/>
  <c r="H83" i="23" s="1"/>
  <c r="H82" i="23"/>
  <c r="H81" i="23"/>
  <c r="F81" i="23"/>
  <c r="H80" i="23"/>
  <c r="H79" i="23"/>
  <c r="H78" i="23"/>
  <c r="H75" i="23"/>
  <c r="H74" i="23"/>
  <c r="F73" i="23"/>
  <c r="E73" i="23"/>
  <c r="H72" i="23"/>
  <c r="H71" i="23"/>
  <c r="F70" i="23"/>
  <c r="E70" i="23"/>
  <c r="H69" i="23"/>
  <c r="F68" i="23"/>
  <c r="E68" i="23"/>
  <c r="H67" i="23"/>
  <c r="F67" i="23"/>
  <c r="F55" i="23" s="1"/>
  <c r="H66" i="23"/>
  <c r="H65" i="23"/>
  <c r="H64" i="23"/>
  <c r="H63" i="23"/>
  <c r="H62" i="23"/>
  <c r="H61" i="23"/>
  <c r="H60" i="23"/>
  <c r="H59" i="23"/>
  <c r="H58" i="23"/>
  <c r="H57" i="23"/>
  <c r="H56" i="23"/>
  <c r="E55" i="23"/>
  <c r="H53" i="23"/>
  <c r="F52" i="23"/>
  <c r="E52" i="23"/>
  <c r="H51" i="23"/>
  <c r="H50" i="23"/>
  <c r="H49" i="23"/>
  <c r="F48" i="23"/>
  <c r="E48" i="23"/>
  <c r="H47" i="23"/>
  <c r="H46" i="23"/>
  <c r="F45" i="23"/>
  <c r="E45" i="23"/>
  <c r="H44" i="23"/>
  <c r="H43" i="23"/>
  <c r="H42" i="23"/>
  <c r="H41" i="23"/>
  <c r="H40" i="23"/>
  <c r="F39" i="23"/>
  <c r="E39" i="23"/>
  <c r="H38" i="23"/>
  <c r="H37" i="23"/>
  <c r="H36" i="23"/>
  <c r="H35" i="23"/>
  <c r="H34" i="23"/>
  <c r="H33" i="23"/>
  <c r="H32" i="23"/>
  <c r="H31" i="23"/>
  <c r="H30" i="23"/>
  <c r="H29" i="23"/>
  <c r="H28" i="23"/>
  <c r="H27" i="23"/>
  <c r="H26" i="23"/>
  <c r="H25" i="23"/>
  <c r="F24" i="23"/>
  <c r="E24" i="23"/>
  <c r="H23" i="23"/>
  <c r="H22" i="23"/>
  <c r="H21" i="23"/>
  <c r="F20" i="23"/>
  <c r="E20" i="23"/>
  <c r="H19" i="23"/>
  <c r="F18" i="23"/>
  <c r="E18" i="23"/>
  <c r="H17" i="23"/>
  <c r="H16" i="23"/>
  <c r="H15" i="23"/>
  <c r="H14" i="23"/>
  <c r="H13" i="23"/>
  <c r="H12" i="23"/>
  <c r="F11" i="23"/>
  <c r="E11" i="23"/>
  <c r="P28" i="42" l="1"/>
  <c r="P28" i="44"/>
  <c r="P28" i="43"/>
  <c r="P28" i="41"/>
  <c r="P28" i="40"/>
  <c r="P28" i="45"/>
  <c r="F202" i="23"/>
  <c r="F201" i="23" s="1"/>
  <c r="S26" i="3"/>
  <c r="U26" i="3" s="1"/>
  <c r="E77" i="23"/>
  <c r="E76" i="23" s="1"/>
  <c r="M33" i="3"/>
  <c r="S16" i="3"/>
  <c r="U16" i="3" s="1"/>
  <c r="P28" i="3"/>
  <c r="M32" i="38"/>
  <c r="M22" i="3"/>
  <c r="H224" i="23"/>
  <c r="I224" i="23" s="1"/>
  <c r="P16" i="3"/>
  <c r="R16" i="3" s="1"/>
  <c r="M21" i="3"/>
  <c r="H100" i="23"/>
  <c r="I100" i="23" s="1"/>
  <c r="F77" i="23"/>
  <c r="F76" i="23" s="1"/>
  <c r="J89" i="23"/>
  <c r="I89" i="23" s="1"/>
  <c r="J76" i="23"/>
  <c r="E9" i="23"/>
  <c r="E54" i="23"/>
  <c r="H97" i="23"/>
  <c r="I97" i="23" s="1"/>
  <c r="J213" i="23"/>
  <c r="I213" i="23" s="1"/>
  <c r="F10" i="23"/>
  <c r="E176" i="23"/>
  <c r="H76" i="23"/>
  <c r="E125" i="23"/>
  <c r="E102" i="23" s="1"/>
  <c r="F176" i="23"/>
  <c r="J201" i="23" s="1"/>
  <c r="J54" i="23"/>
  <c r="F125" i="23"/>
  <c r="F103" i="23" s="1"/>
  <c r="H201" i="23"/>
  <c r="H54" i="23"/>
  <c r="H86" i="23"/>
  <c r="F54" i="23"/>
  <c r="E10" i="23"/>
  <c r="H132" i="23"/>
  <c r="H176" i="23" s="1"/>
  <c r="H208" i="23"/>
  <c r="H211" i="23" s="1"/>
  <c r="P26" i="45" l="1"/>
  <c r="M28" i="45"/>
  <c r="O28" i="45" s="1"/>
  <c r="M28" i="40"/>
  <c r="P26" i="40"/>
  <c r="O28" i="40"/>
  <c r="P26" i="41"/>
  <c r="M28" i="41"/>
  <c r="N28" i="41"/>
  <c r="R26" i="43"/>
  <c r="P26" i="43"/>
  <c r="M28" i="43"/>
  <c r="O28" i="43"/>
  <c r="Q22" i="41"/>
  <c r="Q22" i="40"/>
  <c r="Q22" i="45"/>
  <c r="Q22" i="43"/>
  <c r="Q22" i="44"/>
  <c r="Q22" i="42"/>
  <c r="M28" i="44"/>
  <c r="P26" i="44"/>
  <c r="Q28" i="42"/>
  <c r="Q26" i="42" s="1"/>
  <c r="Q28" i="44"/>
  <c r="Q26" i="44" s="1"/>
  <c r="Q28" i="43"/>
  <c r="Q26" i="43" s="1"/>
  <c r="Q28" i="41"/>
  <c r="Q28" i="40"/>
  <c r="Q26" i="40" s="1"/>
  <c r="Q28" i="45"/>
  <c r="Q26" i="45" s="1"/>
  <c r="I211" i="23"/>
  <c r="T22" i="45"/>
  <c r="T16" i="45" s="1"/>
  <c r="T10" i="45" s="1"/>
  <c r="T22" i="43"/>
  <c r="T16" i="43" s="1"/>
  <c r="T10" i="43" s="1"/>
  <c r="T22" i="44"/>
  <c r="T16" i="44" s="1"/>
  <c r="T10" i="44" s="1"/>
  <c r="T22" i="42"/>
  <c r="T16" i="42" s="1"/>
  <c r="T10" i="42" s="1"/>
  <c r="T22" i="40"/>
  <c r="T16" i="40" s="1"/>
  <c r="T10" i="40" s="1"/>
  <c r="T22" i="41"/>
  <c r="T16" i="41" s="1"/>
  <c r="T10" i="41" s="1"/>
  <c r="T26" i="3"/>
  <c r="P26" i="42"/>
  <c r="M28" i="42"/>
  <c r="O28" i="42"/>
  <c r="O22" i="3"/>
  <c r="N33" i="3"/>
  <c r="O33" i="3"/>
  <c r="G21" i="3"/>
  <c r="O21" i="3"/>
  <c r="I21" i="3" s="1"/>
  <c r="P26" i="3"/>
  <c r="R26" i="3" s="1"/>
  <c r="D21" i="3"/>
  <c r="N21" i="3"/>
  <c r="M30" i="38"/>
  <c r="M14" i="38" s="1"/>
  <c r="K32" i="38"/>
  <c r="Q28" i="3"/>
  <c r="N32" i="38"/>
  <c r="N30" i="38" s="1"/>
  <c r="M28" i="3"/>
  <c r="T22" i="3"/>
  <c r="P26" i="38"/>
  <c r="P20" i="38" s="1"/>
  <c r="P14" i="38" s="1"/>
  <c r="Q22" i="3"/>
  <c r="N26" i="38"/>
  <c r="F9" i="23"/>
  <c r="M16" i="3"/>
  <c r="I54" i="23"/>
  <c r="J86" i="23"/>
  <c r="I86" i="23"/>
  <c r="E8" i="23"/>
  <c r="I76" i="23"/>
  <c r="I176" i="23"/>
  <c r="I201" i="23"/>
  <c r="J176" i="23"/>
  <c r="E103" i="23"/>
  <c r="K9" i="23" s="1"/>
  <c r="F102" i="23"/>
  <c r="F49" i="22"/>
  <c r="G50" i="22" s="1"/>
  <c r="G49" i="22" s="1"/>
  <c r="H48" i="22"/>
  <c r="G47" i="22"/>
  <c r="F47" i="22"/>
  <c r="H46" i="22"/>
  <c r="H45" i="22"/>
  <c r="H44" i="22"/>
  <c r="H43" i="22"/>
  <c r="G42" i="22"/>
  <c r="F42" i="22"/>
  <c r="H41" i="22"/>
  <c r="H40" i="22"/>
  <c r="H39" i="22"/>
  <c r="H38" i="22"/>
  <c r="H37" i="22"/>
  <c r="H36" i="22"/>
  <c r="H35" i="22"/>
  <c r="H34" i="22"/>
  <c r="H33" i="22"/>
  <c r="H32" i="22"/>
  <c r="H31" i="22"/>
  <c r="H30" i="22"/>
  <c r="H29" i="22"/>
  <c r="H28" i="22"/>
  <c r="H27" i="22"/>
  <c r="H26" i="22"/>
  <c r="H25" i="22"/>
  <c r="H24" i="22"/>
  <c r="H23" i="22"/>
  <c r="H22" i="22"/>
  <c r="H21" i="22"/>
  <c r="H20" i="22"/>
  <c r="H19" i="22"/>
  <c r="H18" i="22"/>
  <c r="H17" i="22"/>
  <c r="G16" i="22"/>
  <c r="I22" i="38" s="1"/>
  <c r="F16" i="22"/>
  <c r="H15" i="22"/>
  <c r="I15" i="22" s="1"/>
  <c r="G14" i="22"/>
  <c r="F14" i="22"/>
  <c r="G28" i="42" l="1"/>
  <c r="I28" i="42"/>
  <c r="M26" i="42"/>
  <c r="O26" i="42"/>
  <c r="Q16" i="44"/>
  <c r="Q10" i="44" s="1"/>
  <c r="N22" i="44"/>
  <c r="P10" i="43"/>
  <c r="R10" i="43"/>
  <c r="R26" i="40"/>
  <c r="R10" i="40" s="1"/>
  <c r="P10" i="40"/>
  <c r="N28" i="40"/>
  <c r="H28" i="40" s="1"/>
  <c r="M26" i="40"/>
  <c r="G28" i="40"/>
  <c r="I28" i="40"/>
  <c r="P10" i="42"/>
  <c r="R10" i="42"/>
  <c r="N28" i="44"/>
  <c r="N26" i="44" s="1"/>
  <c r="Q16" i="45"/>
  <c r="Q10" i="45" s="1"/>
  <c r="N22" i="45"/>
  <c r="Q16" i="42"/>
  <c r="Q10" i="42" s="1"/>
  <c r="N22" i="42"/>
  <c r="N28" i="42"/>
  <c r="H28" i="42" s="1"/>
  <c r="N22" i="43"/>
  <c r="Q16" i="43"/>
  <c r="Q10" i="43" s="1"/>
  <c r="Q26" i="3"/>
  <c r="R26" i="42"/>
  <c r="P10" i="44"/>
  <c r="Q16" i="40"/>
  <c r="Q10" i="40" s="1"/>
  <c r="N22" i="40"/>
  <c r="G28" i="41"/>
  <c r="H28" i="41" s="1"/>
  <c r="M26" i="41"/>
  <c r="G28" i="45"/>
  <c r="M26" i="45"/>
  <c r="I28" i="45"/>
  <c r="H28" i="45"/>
  <c r="K20" i="45"/>
  <c r="K20" i="41"/>
  <c r="K20" i="43"/>
  <c r="K20" i="44"/>
  <c r="K20" i="42"/>
  <c r="K20" i="40"/>
  <c r="R26" i="44"/>
  <c r="R10" i="44" s="1"/>
  <c r="N22" i="41"/>
  <c r="Q16" i="41"/>
  <c r="P10" i="41"/>
  <c r="Q10" i="41" s="1"/>
  <c r="N28" i="45"/>
  <c r="N26" i="45" s="1"/>
  <c r="N28" i="43"/>
  <c r="N26" i="43" s="1"/>
  <c r="G28" i="44"/>
  <c r="M26" i="44"/>
  <c r="H28" i="44"/>
  <c r="O26" i="43"/>
  <c r="R26" i="41"/>
  <c r="R10" i="41" s="1"/>
  <c r="R26" i="45"/>
  <c r="P10" i="45"/>
  <c r="R10" i="45"/>
  <c r="Q26" i="41"/>
  <c r="O28" i="44"/>
  <c r="I28" i="44" s="1"/>
  <c r="M26" i="43"/>
  <c r="G28" i="43"/>
  <c r="O28" i="41"/>
  <c r="I28" i="41" s="1"/>
  <c r="O28" i="3"/>
  <c r="O16" i="3"/>
  <c r="N22" i="3"/>
  <c r="G28" i="3"/>
  <c r="M26" i="3"/>
  <c r="M10" i="3" s="1"/>
  <c r="N28" i="3"/>
  <c r="N20" i="38"/>
  <c r="N14" i="38" s="1"/>
  <c r="L26" i="38"/>
  <c r="K20" i="3"/>
  <c r="J24" i="38"/>
  <c r="H24" i="38" s="1"/>
  <c r="E24" i="38" s="1"/>
  <c r="G20" i="3"/>
  <c r="I20" i="3" s="1"/>
  <c r="J16" i="3"/>
  <c r="L32" i="38"/>
  <c r="L30" i="38" s="1"/>
  <c r="G32" i="38"/>
  <c r="K30" i="38"/>
  <c r="K14" i="38" s="1"/>
  <c r="G22" i="38"/>
  <c r="I20" i="38"/>
  <c r="F8" i="23"/>
  <c r="H47" i="22"/>
  <c r="I47" i="22" s="1"/>
  <c r="F9" i="22"/>
  <c r="H42" i="22"/>
  <c r="I42" i="22" s="1"/>
  <c r="J22" i="38" s="1"/>
  <c r="G9" i="22"/>
  <c r="H28" i="43" l="1"/>
  <c r="D28" i="43"/>
  <c r="D26" i="43" s="1"/>
  <c r="G26" i="43"/>
  <c r="E28" i="43"/>
  <c r="E26" i="43" s="1"/>
  <c r="H22" i="41"/>
  <c r="E22" i="41" s="1"/>
  <c r="N16" i="41"/>
  <c r="N16" i="43"/>
  <c r="H22" i="43"/>
  <c r="E22" i="43" s="1"/>
  <c r="K16" i="41"/>
  <c r="K10" i="41" s="1"/>
  <c r="H20" i="41"/>
  <c r="O26" i="41"/>
  <c r="O10" i="41" s="1"/>
  <c r="M10" i="41"/>
  <c r="M10" i="40"/>
  <c r="N10" i="43"/>
  <c r="M10" i="43"/>
  <c r="O10" i="43" s="1"/>
  <c r="O26" i="44"/>
  <c r="O10" i="44" s="1"/>
  <c r="M10" i="44"/>
  <c r="H22" i="40"/>
  <c r="E22" i="40" s="1"/>
  <c r="N16" i="40"/>
  <c r="N10" i="40" s="1"/>
  <c r="N26" i="42"/>
  <c r="M10" i="42"/>
  <c r="O10" i="42" s="1"/>
  <c r="N16" i="42"/>
  <c r="H22" i="42"/>
  <c r="N26" i="40"/>
  <c r="G26" i="41"/>
  <c r="D28" i="41"/>
  <c r="D26" i="41" s="1"/>
  <c r="E28" i="41"/>
  <c r="I26" i="41"/>
  <c r="I10" i="41" s="1"/>
  <c r="K16" i="42"/>
  <c r="K10" i="42" s="1"/>
  <c r="H20" i="42"/>
  <c r="E20" i="42" s="1"/>
  <c r="O10" i="45"/>
  <c r="M10" i="45"/>
  <c r="G26" i="42"/>
  <c r="D28" i="42"/>
  <c r="H26" i="42"/>
  <c r="E28" i="44"/>
  <c r="H32" i="38"/>
  <c r="H30" i="38" s="1"/>
  <c r="G26" i="44"/>
  <c r="G10" i="44" s="1"/>
  <c r="D10" i="44" s="1"/>
  <c r="D28" i="44"/>
  <c r="D26" i="44" s="1"/>
  <c r="I28" i="43"/>
  <c r="I26" i="43" s="1"/>
  <c r="I10" i="43" s="1"/>
  <c r="K16" i="44"/>
  <c r="K10" i="44" s="1"/>
  <c r="H20" i="44"/>
  <c r="D28" i="45"/>
  <c r="D26" i="45" s="1"/>
  <c r="E28" i="45"/>
  <c r="I26" i="45"/>
  <c r="I10" i="45" s="1"/>
  <c r="G26" i="45"/>
  <c r="G10" i="45" s="1"/>
  <c r="D10" i="45" s="1"/>
  <c r="N26" i="41"/>
  <c r="O26" i="40"/>
  <c r="O10" i="40" s="1"/>
  <c r="K16" i="45"/>
  <c r="K10" i="45" s="1"/>
  <c r="H20" i="45"/>
  <c r="K16" i="40"/>
  <c r="K10" i="40" s="1"/>
  <c r="H20" i="40"/>
  <c r="H28" i="3"/>
  <c r="K16" i="43"/>
  <c r="K10" i="43" s="1"/>
  <c r="H20" i="43"/>
  <c r="H22" i="45"/>
  <c r="E22" i="45" s="1"/>
  <c r="N16" i="45"/>
  <c r="N10" i="45" s="1"/>
  <c r="D28" i="40"/>
  <c r="D26" i="40" s="1"/>
  <c r="G26" i="40"/>
  <c r="E28" i="40"/>
  <c r="E26" i="40" s="1"/>
  <c r="H22" i="44"/>
  <c r="E22" i="44" s="1"/>
  <c r="N16" i="44"/>
  <c r="O26" i="45"/>
  <c r="I28" i="3"/>
  <c r="L16" i="3"/>
  <c r="O26" i="3"/>
  <c r="O10" i="3" s="1"/>
  <c r="K16" i="3"/>
  <c r="D20" i="3"/>
  <c r="D28" i="3"/>
  <c r="E28" i="3" s="1"/>
  <c r="H22" i="38"/>
  <c r="D22" i="38"/>
  <c r="G20" i="38"/>
  <c r="G30" i="38"/>
  <c r="D32" i="38"/>
  <c r="E32" i="38"/>
  <c r="N26" i="3"/>
  <c r="H26" i="38"/>
  <c r="E26" i="38" s="1"/>
  <c r="L20" i="38"/>
  <c r="L14" i="38" s="1"/>
  <c r="J20" i="38"/>
  <c r="I14" i="38"/>
  <c r="J14" i="38" s="1"/>
  <c r="H64" i="21"/>
  <c r="H63" i="21"/>
  <c r="H62" i="21"/>
  <c r="H61" i="21"/>
  <c r="D59" i="21"/>
  <c r="B59" i="21"/>
  <c r="D58" i="21"/>
  <c r="B58" i="21"/>
  <c r="D57" i="21"/>
  <c r="B57" i="21"/>
  <c r="B56" i="21"/>
  <c r="H54" i="21"/>
  <c r="H53" i="21"/>
  <c r="H50" i="21"/>
  <c r="H49" i="21"/>
  <c r="H48" i="21"/>
  <c r="H45" i="21"/>
  <c r="H44" i="21"/>
  <c r="H43" i="21"/>
  <c r="H40" i="21"/>
  <c r="H39" i="21"/>
  <c r="H38" i="21"/>
  <c r="H37" i="21"/>
  <c r="H33" i="21"/>
  <c r="H31" i="21"/>
  <c r="H30" i="21"/>
  <c r="H28" i="21"/>
  <c r="H27" i="21"/>
  <c r="H21" i="21"/>
  <c r="H20" i="21"/>
  <c r="H19" i="21"/>
  <c r="H18" i="21"/>
  <c r="H17" i="21"/>
  <c r="F16" i="21"/>
  <c r="B5" i="21"/>
  <c r="B55" i="20"/>
  <c r="D53" i="20"/>
  <c r="B53" i="20"/>
  <c r="B52" i="20"/>
  <c r="B51" i="20"/>
  <c r="H50" i="20"/>
  <c r="H49" i="20"/>
  <c r="H48" i="20"/>
  <c r="H47" i="20"/>
  <c r="H46" i="20"/>
  <c r="H45" i="20"/>
  <c r="H44" i="20"/>
  <c r="H43" i="20"/>
  <c r="F42" i="20"/>
  <c r="H41" i="20"/>
  <c r="H40" i="20"/>
  <c r="H39" i="20"/>
  <c r="H34" i="20"/>
  <c r="H33" i="20"/>
  <c r="F32" i="20"/>
  <c r="H30" i="20"/>
  <c r="H29" i="20"/>
  <c r="H28" i="20"/>
  <c r="H27" i="20"/>
  <c r="H26" i="20"/>
  <c r="H25" i="20"/>
  <c r="H24" i="20"/>
  <c r="H23" i="20"/>
  <c r="F22" i="20"/>
  <c r="H21" i="20"/>
  <c r="H20" i="20"/>
  <c r="H19" i="20"/>
  <c r="H22" i="20" s="1"/>
  <c r="F12" i="20"/>
  <c r="B5" i="20"/>
  <c r="E35" i="19"/>
  <c r="B35" i="19"/>
  <c r="E34" i="19"/>
  <c r="C34" i="19"/>
  <c r="D33" i="19"/>
  <c r="B33" i="19"/>
  <c r="B32" i="19"/>
  <c r="H31" i="19"/>
  <c r="F26" i="19"/>
  <c r="F16" i="19"/>
  <c r="H16" i="19" s="1"/>
  <c r="F15" i="19"/>
  <c r="H15" i="19" s="1"/>
  <c r="M8" i="19"/>
  <c r="B5" i="19"/>
  <c r="D47" i="18"/>
  <c r="B47" i="18"/>
  <c r="D46" i="18"/>
  <c r="B46" i="18"/>
  <c r="D45" i="18"/>
  <c r="B45" i="18"/>
  <c r="B43" i="18"/>
  <c r="J42" i="18"/>
  <c r="H38" i="18"/>
  <c r="F37" i="18"/>
  <c r="H36" i="18"/>
  <c r="F35" i="18"/>
  <c r="H34" i="18"/>
  <c r="F33" i="18"/>
  <c r="H31" i="18"/>
  <c r="H30" i="18"/>
  <c r="H29" i="18"/>
  <c r="H28" i="18"/>
  <c r="H27" i="18"/>
  <c r="H26" i="18"/>
  <c r="H25" i="18"/>
  <c r="H24" i="18"/>
  <c r="H23" i="18"/>
  <c r="H22" i="18"/>
  <c r="H21" i="18"/>
  <c r="H20" i="18"/>
  <c r="F19" i="18"/>
  <c r="H18" i="18"/>
  <c r="F17" i="18"/>
  <c r="H17" i="18" s="1"/>
  <c r="H16" i="18"/>
  <c r="H15" i="18"/>
  <c r="F14" i="18"/>
  <c r="H14" i="18" s="1"/>
  <c r="F13" i="18"/>
  <c r="H13" i="18" s="1"/>
  <c r="B6" i="18"/>
  <c r="H13" i="3"/>
  <c r="E13" i="3" s="1"/>
  <c r="B102" i="16"/>
  <c r="D100" i="16"/>
  <c r="B100" i="16"/>
  <c r="B99" i="16"/>
  <c r="H96" i="16"/>
  <c r="F95" i="16"/>
  <c r="H94" i="16"/>
  <c r="H93" i="16"/>
  <c r="H92" i="16"/>
  <c r="F91" i="16"/>
  <c r="H90" i="16"/>
  <c r="H89" i="16"/>
  <c r="H88" i="16"/>
  <c r="F87" i="16"/>
  <c r="H86" i="16"/>
  <c r="H85" i="16"/>
  <c r="H84" i="16"/>
  <c r="H83" i="16"/>
  <c r="H82" i="16"/>
  <c r="H81" i="16"/>
  <c r="H80" i="16"/>
  <c r="H79" i="16"/>
  <c r="H78" i="16"/>
  <c r="H77" i="16"/>
  <c r="H76" i="16"/>
  <c r="H75" i="16"/>
  <c r="H74" i="16"/>
  <c r="H73" i="16"/>
  <c r="H72" i="16"/>
  <c r="H71" i="16"/>
  <c r="H70" i="16"/>
  <c r="H69" i="16"/>
  <c r="H68" i="16"/>
  <c r="H67" i="16"/>
  <c r="H66" i="16"/>
  <c r="H65" i="16"/>
  <c r="H64" i="16"/>
  <c r="H63" i="16"/>
  <c r="H62" i="16"/>
  <c r="F61" i="16"/>
  <c r="H60" i="16"/>
  <c r="H59" i="16"/>
  <c r="H58" i="16"/>
  <c r="F57" i="16"/>
  <c r="H55" i="16"/>
  <c r="H54" i="16"/>
  <c r="H53" i="16"/>
  <c r="H52" i="16"/>
  <c r="H51" i="16"/>
  <c r="H50" i="16"/>
  <c r="F49" i="16"/>
  <c r="H47" i="16"/>
  <c r="F46" i="16"/>
  <c r="H45" i="16"/>
  <c r="H44" i="16"/>
  <c r="H43" i="16"/>
  <c r="F42" i="16"/>
  <c r="H41" i="16"/>
  <c r="H40" i="16"/>
  <c r="F39" i="16"/>
  <c r="H38" i="16"/>
  <c r="H37" i="16"/>
  <c r="H36" i="16"/>
  <c r="H35" i="16"/>
  <c r="H34" i="16"/>
  <c r="H33" i="16"/>
  <c r="H32" i="16"/>
  <c r="H31" i="16"/>
  <c r="H30" i="16"/>
  <c r="H29" i="16"/>
  <c r="H28" i="16"/>
  <c r="H27" i="16"/>
  <c r="H26" i="16"/>
  <c r="H25" i="16"/>
  <c r="H24" i="16"/>
  <c r="H23" i="16"/>
  <c r="H22" i="16"/>
  <c r="H21" i="16"/>
  <c r="H20" i="16"/>
  <c r="H19" i="16"/>
  <c r="H18" i="16"/>
  <c r="F17" i="16"/>
  <c r="H16" i="16"/>
  <c r="H15" i="16"/>
  <c r="F11" i="16"/>
  <c r="B5" i="16"/>
  <c r="D37" i="15"/>
  <c r="B37" i="15"/>
  <c r="D36" i="15"/>
  <c r="B36" i="15"/>
  <c r="D35" i="15"/>
  <c r="B35" i="15"/>
  <c r="B34" i="15"/>
  <c r="G33" i="15"/>
  <c r="F27" i="15"/>
  <c r="F24" i="15"/>
  <c r="H23" i="15"/>
  <c r="F22" i="15"/>
  <c r="H21" i="15"/>
  <c r="H20" i="15"/>
  <c r="H19" i="15"/>
  <c r="H18" i="15"/>
  <c r="H17" i="15"/>
  <c r="H16" i="15"/>
  <c r="H15" i="15"/>
  <c r="H14" i="15"/>
  <c r="H13" i="15"/>
  <c r="B4" i="15"/>
  <c r="E20" i="40" l="1"/>
  <c r="E16" i="40" s="1"/>
  <c r="H16" i="40"/>
  <c r="I26" i="40"/>
  <c r="I10" i="40" s="1"/>
  <c r="G10" i="40"/>
  <c r="D10" i="40" s="1"/>
  <c r="E26" i="45"/>
  <c r="E20" i="41"/>
  <c r="E16" i="41" s="1"/>
  <c r="H16" i="41"/>
  <c r="H26" i="43"/>
  <c r="G10" i="43"/>
  <c r="D10" i="43" s="1"/>
  <c r="E20" i="45"/>
  <c r="E16" i="45" s="1"/>
  <c r="H16" i="45"/>
  <c r="E20" i="44"/>
  <c r="H16" i="44"/>
  <c r="H10" i="42"/>
  <c r="N10" i="42"/>
  <c r="D26" i="42"/>
  <c r="E28" i="42"/>
  <c r="E26" i="42" s="1"/>
  <c r="E26" i="41"/>
  <c r="I26" i="44"/>
  <c r="I10" i="44" s="1"/>
  <c r="E16" i="44"/>
  <c r="E20" i="43"/>
  <c r="E16" i="43" s="1"/>
  <c r="H16" i="43"/>
  <c r="H26" i="44"/>
  <c r="I26" i="42"/>
  <c r="I10" i="42" s="1"/>
  <c r="G10" i="42"/>
  <c r="D10" i="42" s="1"/>
  <c r="H26" i="41"/>
  <c r="G10" i="41"/>
  <c r="H26" i="45"/>
  <c r="H26" i="40"/>
  <c r="H16" i="42"/>
  <c r="E22" i="42"/>
  <c r="E16" i="42" s="1"/>
  <c r="N10" i="44"/>
  <c r="E26" i="44"/>
  <c r="N10" i="41"/>
  <c r="D30" i="38"/>
  <c r="E30" i="38"/>
  <c r="H20" i="38"/>
  <c r="G14" i="38"/>
  <c r="D20" i="38"/>
  <c r="F11" i="20"/>
  <c r="E22" i="38"/>
  <c r="E20" i="38" s="1"/>
  <c r="I22" i="20"/>
  <c r="H17" i="16"/>
  <c r="I17" i="16" s="1"/>
  <c r="F9" i="15"/>
  <c r="F8" i="15" s="1"/>
  <c r="G14" i="3"/>
  <c r="I14" i="3" s="1"/>
  <c r="I31" i="19"/>
  <c r="J61" i="16"/>
  <c r="F10" i="16"/>
  <c r="H39" i="16"/>
  <c r="I39" i="16" s="1"/>
  <c r="F31" i="20"/>
  <c r="H48" i="16"/>
  <c r="I48" i="16" s="1"/>
  <c r="F11" i="18"/>
  <c r="F10" i="18" s="1"/>
  <c r="H33" i="18"/>
  <c r="I33" i="18" s="1"/>
  <c r="H19" i="18"/>
  <c r="H42" i="20"/>
  <c r="I42" i="20" s="1"/>
  <c r="H61" i="16"/>
  <c r="I61" i="16" s="1"/>
  <c r="H87" i="16"/>
  <c r="I87" i="16" s="1"/>
  <c r="F11" i="19"/>
  <c r="F10" i="19" s="1"/>
  <c r="J98" i="16"/>
  <c r="H42" i="18"/>
  <c r="I42" i="18" s="1"/>
  <c r="H16" i="21"/>
  <c r="H67" i="21" s="1"/>
  <c r="F55" i="21"/>
  <c r="J67" i="21" s="1"/>
  <c r="H97" i="16"/>
  <c r="J49" i="16"/>
  <c r="F48" i="16"/>
  <c r="H31" i="20"/>
  <c r="I31" i="20" s="1"/>
  <c r="H51" i="20"/>
  <c r="I51" i="20" s="1"/>
  <c r="H26" i="19"/>
  <c r="H22" i="15"/>
  <c r="H26" i="15" s="1"/>
  <c r="I26" i="15" s="1"/>
  <c r="H10" i="43" l="1"/>
  <c r="E10" i="43" s="1"/>
  <c r="H10" i="44"/>
  <c r="E10" i="44" s="1"/>
  <c r="H10" i="41"/>
  <c r="D10" i="41"/>
  <c r="H10" i="45"/>
  <c r="E10" i="45" s="1"/>
  <c r="E10" i="42"/>
  <c r="H10" i="40"/>
  <c r="E10" i="40" s="1"/>
  <c r="D14" i="3"/>
  <c r="H14" i="38"/>
  <c r="D14" i="38"/>
  <c r="E14" i="38"/>
  <c r="F10" i="20"/>
  <c r="F9" i="16"/>
  <c r="H14" i="3"/>
  <c r="G12" i="3"/>
  <c r="I12" i="3" s="1"/>
  <c r="I26" i="19"/>
  <c r="I19" i="18"/>
  <c r="I67" i="21"/>
  <c r="I97" i="16"/>
  <c r="J70" i="21"/>
  <c r="B42" i="18"/>
  <c r="B33" i="15"/>
  <c r="B98" i="16"/>
  <c r="B31" i="19"/>
  <c r="E10" i="41" l="1"/>
  <c r="E14" i="3"/>
  <c r="J72" i="21"/>
  <c r="G18" i="3"/>
  <c r="G19" i="3"/>
  <c r="I19" i="3" s="1"/>
  <c r="I18" i="3" l="1"/>
  <c r="D19" i="3"/>
  <c r="H18" i="3"/>
  <c r="D18" i="3"/>
  <c r="E18" i="3" s="1"/>
  <c r="H19" i="3"/>
  <c r="E19" i="3" s="1"/>
  <c r="J21" i="1" l="1"/>
  <c r="I24" i="1"/>
  <c r="I22" i="1"/>
  <c r="K23" i="1" l="1"/>
  <c r="I20" i="1" l="1"/>
  <c r="J20" i="1"/>
  <c r="N19" i="1" l="1"/>
  <c r="K19" i="1"/>
  <c r="L19" i="1"/>
  <c r="AH16" i="3"/>
  <c r="AE16" i="3"/>
  <c r="J9" i="23" l="1"/>
  <c r="Q16" i="3"/>
  <c r="T16" i="3"/>
  <c r="H20" i="1"/>
  <c r="I31" i="1"/>
  <c r="I27" i="1"/>
  <c r="J27" i="1"/>
  <c r="N16" i="1"/>
  <c r="O17" i="1"/>
  <c r="O16" i="1"/>
  <c r="P17" i="1"/>
  <c r="P16" i="1"/>
  <c r="I86" i="11"/>
  <c r="N16" i="3" l="1"/>
  <c r="J102" i="23"/>
  <c r="F20" i="1"/>
  <c r="D20" i="1" s="1"/>
  <c r="V17" i="4"/>
  <c r="J83" i="11"/>
  <c r="L20" i="4" l="1"/>
  <c r="H20" i="4"/>
  <c r="B90" i="11"/>
  <c r="D88" i="11"/>
  <c r="B88" i="11"/>
  <c r="B87" i="11"/>
  <c r="B86" i="11"/>
  <c r="H84" i="11"/>
  <c r="F83" i="11"/>
  <c r="H82" i="11"/>
  <c r="F81" i="11"/>
  <c r="H80" i="11"/>
  <c r="H79" i="11"/>
  <c r="H78" i="11"/>
  <c r="H77" i="11"/>
  <c r="H76" i="11"/>
  <c r="H75" i="11"/>
  <c r="H74" i="11"/>
  <c r="H73" i="11"/>
  <c r="H72" i="11"/>
  <c r="H71" i="11"/>
  <c r="H70" i="11"/>
  <c r="H69" i="11"/>
  <c r="H68" i="11"/>
  <c r="H67" i="11"/>
  <c r="H66" i="11"/>
  <c r="H65" i="11"/>
  <c r="H64" i="11"/>
  <c r="H63" i="11"/>
  <c r="H62" i="11"/>
  <c r="H61" i="11"/>
  <c r="H60" i="11"/>
  <c r="H59" i="11"/>
  <c r="H58" i="11"/>
  <c r="F57" i="11"/>
  <c r="J17" i="1" s="1"/>
  <c r="H56" i="11"/>
  <c r="H55" i="11"/>
  <c r="H54" i="11"/>
  <c r="H53" i="11"/>
  <c r="F52" i="11"/>
  <c r="H50" i="11"/>
  <c r="H49" i="11"/>
  <c r="H48" i="11"/>
  <c r="H47" i="11"/>
  <c r="H46" i="11"/>
  <c r="H45" i="11"/>
  <c r="H44" i="11"/>
  <c r="H43" i="11"/>
  <c r="F42" i="11"/>
  <c r="H40" i="11"/>
  <c r="F39" i="11"/>
  <c r="H38" i="11"/>
  <c r="H37" i="11"/>
  <c r="H36" i="11"/>
  <c r="H35" i="11"/>
  <c r="H34" i="11"/>
  <c r="H33" i="11"/>
  <c r="H32" i="11"/>
  <c r="H31" i="11"/>
  <c r="H30" i="11"/>
  <c r="H29" i="11"/>
  <c r="H28" i="11"/>
  <c r="H27" i="11"/>
  <c r="H26" i="11"/>
  <c r="H25" i="11"/>
  <c r="H24" i="11"/>
  <c r="H23" i="11"/>
  <c r="H22" i="11"/>
  <c r="H21" i="11"/>
  <c r="H20" i="11"/>
  <c r="F19" i="11"/>
  <c r="H18" i="11"/>
  <c r="H17" i="11"/>
  <c r="H16" i="11"/>
  <c r="H15" i="11"/>
  <c r="H13" i="11"/>
  <c r="H12" i="11"/>
  <c r="F11" i="11"/>
  <c r="I16" i="1" s="1"/>
  <c r="B5" i="11"/>
  <c r="E22" i="10"/>
  <c r="B22" i="10"/>
  <c r="E21" i="10"/>
  <c r="C21" i="10"/>
  <c r="D20" i="10"/>
  <c r="B20" i="10"/>
  <c r="B19" i="10"/>
  <c r="B18" i="10"/>
  <c r="F11" i="10"/>
  <c r="L8" i="10"/>
  <c r="B5" i="10"/>
  <c r="D47" i="9"/>
  <c r="B47" i="9"/>
  <c r="D46" i="9"/>
  <c r="B46" i="9"/>
  <c r="D45" i="9"/>
  <c r="B45" i="9"/>
  <c r="B43" i="9"/>
  <c r="B42" i="9"/>
  <c r="H38" i="9"/>
  <c r="F37" i="9"/>
  <c r="H36" i="9"/>
  <c r="F35" i="9"/>
  <c r="H34" i="9"/>
  <c r="H33" i="9"/>
  <c r="F32" i="9"/>
  <c r="H31" i="9"/>
  <c r="H30" i="9"/>
  <c r="H29" i="9"/>
  <c r="H28" i="9"/>
  <c r="H27" i="9"/>
  <c r="H26" i="9"/>
  <c r="H25" i="9"/>
  <c r="H24" i="9"/>
  <c r="H23" i="9"/>
  <c r="H22" i="9"/>
  <c r="H21" i="9"/>
  <c r="H20" i="9"/>
  <c r="H19" i="9"/>
  <c r="H18" i="9"/>
  <c r="F17" i="9"/>
  <c r="G17" i="1" s="1"/>
  <c r="H16" i="9"/>
  <c r="F15" i="9"/>
  <c r="H15" i="9" s="1"/>
  <c r="H14" i="9"/>
  <c r="H13" i="9"/>
  <c r="H12" i="9"/>
  <c r="B6" i="9"/>
  <c r="J82" i="11" l="1"/>
  <c r="J84" i="11" s="1"/>
  <c r="H32" i="9"/>
  <c r="I32" i="9" s="1"/>
  <c r="H19" i="11"/>
  <c r="G42" i="9"/>
  <c r="H81" i="11"/>
  <c r="J58" i="11" s="1"/>
  <c r="J16" i="1"/>
  <c r="J45" i="11"/>
  <c r="F10" i="10"/>
  <c r="L16" i="1"/>
  <c r="H57" i="11"/>
  <c r="J44" i="11" s="1"/>
  <c r="F41" i="11"/>
  <c r="J32" i="9"/>
  <c r="G27" i="1" s="1"/>
  <c r="F10" i="11"/>
  <c r="I17" i="1"/>
  <c r="I15" i="1" s="1"/>
  <c r="R27" i="1" s="1"/>
  <c r="E20" i="4"/>
  <c r="H35" i="9"/>
  <c r="J33" i="9" s="1"/>
  <c r="J34" i="9" s="1"/>
  <c r="H39" i="11"/>
  <c r="J43" i="11"/>
  <c r="I43" i="11"/>
  <c r="J12" i="11"/>
  <c r="I12" i="11"/>
  <c r="H17" i="9"/>
  <c r="F11" i="9"/>
  <c r="J23" i="11" l="1"/>
  <c r="J20" i="11"/>
  <c r="I58" i="11"/>
  <c r="F9" i="11"/>
  <c r="J46" i="11"/>
  <c r="I53" i="11"/>
  <c r="F10" i="9"/>
  <c r="G16" i="1"/>
  <c r="K19" i="9"/>
  <c r="K18" i="9"/>
  <c r="K13" i="9"/>
  <c r="K14" i="9" s="1"/>
  <c r="J53" i="11"/>
  <c r="I35" i="9"/>
  <c r="I20" i="11"/>
  <c r="I17" i="9"/>
  <c r="K20" i="9" l="1"/>
  <c r="D30" i="8"/>
  <c r="B30" i="8"/>
  <c r="D29" i="8"/>
  <c r="B29" i="8"/>
  <c r="D28" i="8"/>
  <c r="B28" i="8"/>
  <c r="B27" i="8"/>
  <c r="G26" i="8"/>
  <c r="B26" i="8"/>
  <c r="H24" i="8"/>
  <c r="F23" i="8"/>
  <c r="H22" i="8"/>
  <c r="F21" i="8"/>
  <c r="H21" i="8" s="1"/>
  <c r="H20" i="8"/>
  <c r="H19" i="8"/>
  <c r="H18" i="8"/>
  <c r="H17" i="8"/>
  <c r="H16" i="8"/>
  <c r="H15" i="8"/>
  <c r="H14" i="8"/>
  <c r="H13" i="8"/>
  <c r="H12" i="8"/>
  <c r="H11" i="8"/>
  <c r="H10" i="8"/>
  <c r="B4" i="8"/>
  <c r="F9" i="8" l="1"/>
  <c r="F8" i="8" s="1"/>
  <c r="K16" i="1" s="1"/>
  <c r="H25" i="8"/>
  <c r="I25" i="8" s="1"/>
  <c r="R15" i="4"/>
  <c r="J25" i="8" l="1"/>
  <c r="G213" i="7"/>
  <c r="F213" i="7"/>
  <c r="G211" i="7"/>
  <c r="F211" i="7"/>
  <c r="G210" i="7"/>
  <c r="F210" i="7"/>
  <c r="F204" i="7" s="1"/>
  <c r="G207" i="7"/>
  <c r="G206" i="7"/>
  <c r="G201" i="7"/>
  <c r="F201" i="7"/>
  <c r="G198" i="7"/>
  <c r="F198" i="7"/>
  <c r="G183" i="7"/>
  <c r="F183" i="7"/>
  <c r="G173" i="7"/>
  <c r="G172" i="7" s="1"/>
  <c r="F173" i="7"/>
  <c r="F172" i="7" s="1"/>
  <c r="G167" i="7"/>
  <c r="F167" i="7"/>
  <c r="G163" i="7"/>
  <c r="F163" i="7"/>
  <c r="G160" i="7"/>
  <c r="F160" i="7"/>
  <c r="G156" i="7"/>
  <c r="F156" i="7"/>
  <c r="G136" i="7"/>
  <c r="F136" i="7"/>
  <c r="G135" i="7"/>
  <c r="F135" i="7"/>
  <c r="G134" i="7"/>
  <c r="F134" i="7"/>
  <c r="G132" i="7"/>
  <c r="F132" i="7"/>
  <c r="G131" i="7"/>
  <c r="F131" i="7"/>
  <c r="G130" i="7"/>
  <c r="F130" i="7"/>
  <c r="G129" i="7"/>
  <c r="F129" i="7"/>
  <c r="G128" i="7"/>
  <c r="F128" i="7"/>
  <c r="G127" i="7"/>
  <c r="F127" i="7"/>
  <c r="G126" i="7"/>
  <c r="F126" i="7"/>
  <c r="G125" i="7"/>
  <c r="F125" i="7"/>
  <c r="G121" i="7"/>
  <c r="F121" i="7"/>
  <c r="G103" i="7"/>
  <c r="F103" i="7"/>
  <c r="G95" i="7"/>
  <c r="F95" i="7"/>
  <c r="G93" i="7"/>
  <c r="F93" i="7"/>
  <c r="G91" i="7"/>
  <c r="F91" i="7"/>
  <c r="G90" i="7"/>
  <c r="F90" i="7"/>
  <c r="F84" i="7" s="1"/>
  <c r="G88" i="7"/>
  <c r="G84" i="7" s="1"/>
  <c r="G81" i="7"/>
  <c r="F81" i="7"/>
  <c r="G79" i="7"/>
  <c r="F79" i="7"/>
  <c r="G78" i="7"/>
  <c r="G66" i="7" s="1"/>
  <c r="F66" i="7"/>
  <c r="G57" i="7"/>
  <c r="F57" i="7"/>
  <c r="G55" i="7"/>
  <c r="F55" i="7"/>
  <c r="G51" i="7"/>
  <c r="F51" i="7"/>
  <c r="G48" i="7"/>
  <c r="F48" i="7"/>
  <c r="G42" i="7"/>
  <c r="F42" i="7"/>
  <c r="G27" i="7"/>
  <c r="F27" i="7"/>
  <c r="G23" i="7"/>
  <c r="F23" i="7"/>
  <c r="G21" i="7"/>
  <c r="F21" i="7"/>
  <c r="G14" i="7"/>
  <c r="F14" i="7"/>
  <c r="G204" i="7" l="1"/>
  <c r="G10" i="7"/>
  <c r="F124" i="7"/>
  <c r="G124" i="7"/>
  <c r="F10" i="7"/>
  <c r="I10" i="7" s="1"/>
  <c r="F99" i="7"/>
  <c r="G99" i="7"/>
  <c r="G9" i="7" s="1"/>
  <c r="F9" i="7" l="1"/>
  <c r="G57" i="6"/>
  <c r="G56" i="6" s="1"/>
  <c r="F57" i="6"/>
  <c r="F56" i="6" s="1"/>
  <c r="G54" i="6"/>
  <c r="F54" i="6"/>
  <c r="G49" i="6"/>
  <c r="F49" i="6"/>
  <c r="G23" i="6"/>
  <c r="F23" i="6"/>
  <c r="G16" i="6"/>
  <c r="F16" i="6"/>
  <c r="G14" i="6"/>
  <c r="F14" i="6"/>
  <c r="G9" i="6" l="1"/>
  <c r="F9" i="6"/>
  <c r="G89" i="5"/>
  <c r="F89" i="5"/>
  <c r="G87" i="5"/>
  <c r="F87" i="5"/>
  <c r="G85" i="5"/>
  <c r="F85" i="5"/>
  <c r="G83" i="5"/>
  <c r="F83" i="5"/>
  <c r="G76" i="5"/>
  <c r="F76" i="5"/>
  <c r="G74" i="5"/>
  <c r="F74" i="5"/>
  <c r="G66" i="5"/>
  <c r="F66" i="5"/>
  <c r="G59" i="5"/>
  <c r="F59" i="5"/>
  <c r="G53" i="5"/>
  <c r="F53" i="5"/>
  <c r="G51" i="5"/>
  <c r="F51" i="5"/>
  <c r="G49" i="5"/>
  <c r="F49" i="5"/>
  <c r="G47" i="5"/>
  <c r="G45" i="5" s="1"/>
  <c r="F45" i="5"/>
  <c r="G42" i="5"/>
  <c r="F42" i="5"/>
  <c r="G38" i="5"/>
  <c r="F38" i="5"/>
  <c r="G36" i="5"/>
  <c r="G35" i="5" s="1"/>
  <c r="F36" i="5"/>
  <c r="F35" i="5" s="1"/>
  <c r="G33" i="5"/>
  <c r="F33" i="5"/>
  <c r="G24" i="5"/>
  <c r="F24" i="5"/>
  <c r="G17" i="5"/>
  <c r="F17" i="5"/>
  <c r="G14" i="5"/>
  <c r="F14" i="5"/>
  <c r="F55" i="5" l="1"/>
  <c r="G55" i="5"/>
  <c r="G13" i="5"/>
  <c r="F13" i="5"/>
  <c r="F9" i="5" s="1"/>
  <c r="G9" i="5" l="1"/>
  <c r="P36" i="4"/>
  <c r="P40" i="4"/>
  <c r="P42" i="4"/>
  <c r="B56" i="4" l="1"/>
  <c r="B55" i="4"/>
  <c r="G31" i="1"/>
  <c r="G32" i="1"/>
  <c r="G30" i="1"/>
  <c r="I32" i="1"/>
  <c r="I30" i="1"/>
  <c r="J31" i="1"/>
  <c r="J32" i="1"/>
  <c r="J30" i="1"/>
  <c r="K31" i="1"/>
  <c r="K32" i="1"/>
  <c r="K30" i="1"/>
  <c r="O29" i="1"/>
  <c r="L31" i="1"/>
  <c r="L32" i="1"/>
  <c r="L30" i="1"/>
  <c r="N31" i="1"/>
  <c r="N32" i="1"/>
  <c r="N30" i="1"/>
  <c r="N29" i="1" s="1"/>
  <c r="P31" i="1"/>
  <c r="P32" i="1"/>
  <c r="P30" i="1"/>
  <c r="H30" i="4"/>
  <c r="J30" i="4"/>
  <c r="J31" i="4"/>
  <c r="J32" i="4"/>
  <c r="N30" i="4"/>
  <c r="N31" i="4"/>
  <c r="N32" i="4"/>
  <c r="P30" i="4"/>
  <c r="P31" i="4"/>
  <c r="P32" i="4"/>
  <c r="R30" i="4"/>
  <c r="R31" i="4"/>
  <c r="R32" i="4"/>
  <c r="T30" i="4"/>
  <c r="T31" i="4"/>
  <c r="T32" i="4"/>
  <c r="X30" i="4"/>
  <c r="X31" i="4"/>
  <c r="X32" i="4"/>
  <c r="Z30" i="4"/>
  <c r="Z31" i="4"/>
  <c r="Z32" i="4"/>
  <c r="AB31" i="4"/>
  <c r="AB32" i="4"/>
  <c r="AB30" i="4"/>
  <c r="B59" i="38" l="1"/>
  <c r="K29" i="1"/>
  <c r="I29" i="1"/>
  <c r="L29" i="1"/>
  <c r="V30" i="4"/>
  <c r="V31" i="4"/>
  <c r="M32" i="1"/>
  <c r="M31" i="1"/>
  <c r="V32" i="4"/>
  <c r="H32" i="1"/>
  <c r="F32" i="1" s="1"/>
  <c r="P29" i="1"/>
  <c r="H31" i="1"/>
  <c r="F31" i="1" s="1"/>
  <c r="J29" i="1"/>
  <c r="G29" i="1"/>
  <c r="H30" i="1"/>
  <c r="F30" i="1" s="1"/>
  <c r="M30" i="1"/>
  <c r="D32" i="1" l="1"/>
  <c r="D31" i="1"/>
  <c r="M29" i="1"/>
  <c r="F29" i="1"/>
  <c r="D30" i="1"/>
  <c r="D29" i="1" s="1"/>
  <c r="H29" i="1"/>
  <c r="G27" i="3" l="1"/>
  <c r="AI26" i="3"/>
  <c r="AH26" i="3"/>
  <c r="AE26" i="3"/>
  <c r="AC26" i="3"/>
  <c r="AB26" i="3"/>
  <c r="K26" i="3"/>
  <c r="J26" i="3"/>
  <c r="AF26" i="3" l="1"/>
  <c r="AG26" i="3"/>
  <c r="AB10" i="3"/>
  <c r="AD10" i="3" s="1"/>
  <c r="AC10" i="3"/>
  <c r="D27" i="3"/>
  <c r="E27" i="3" s="1"/>
  <c r="E30" i="4" s="1"/>
  <c r="J25" i="4"/>
  <c r="N25" i="4"/>
  <c r="P25" i="4"/>
  <c r="X25" i="4"/>
  <c r="Z25" i="4"/>
  <c r="AB25" i="4"/>
  <c r="R22" i="4"/>
  <c r="R23" i="4"/>
  <c r="R24" i="4"/>
  <c r="R25" i="4"/>
  <c r="T22" i="4"/>
  <c r="T23" i="4"/>
  <c r="T24" i="4"/>
  <c r="T25" i="4"/>
  <c r="T19" i="4"/>
  <c r="V25" i="4"/>
  <c r="AB24" i="4" l="1"/>
  <c r="G25" i="1" l="1"/>
  <c r="G24" i="1"/>
  <c r="G23" i="1"/>
  <c r="G22" i="1"/>
  <c r="G21" i="1"/>
  <c r="I25" i="1"/>
  <c r="I23" i="1"/>
  <c r="I21" i="1"/>
  <c r="J25" i="1"/>
  <c r="J24" i="1"/>
  <c r="J23" i="1"/>
  <c r="J22" i="1"/>
  <c r="O25" i="1"/>
  <c r="O24" i="1"/>
  <c r="P25" i="1"/>
  <c r="O23" i="1"/>
  <c r="O22" i="1"/>
  <c r="O21" i="1"/>
  <c r="P42" i="1"/>
  <c r="P40" i="1"/>
  <c r="P38" i="1"/>
  <c r="P36" i="1"/>
  <c r="P34" i="1"/>
  <c r="P27" i="1"/>
  <c r="I19" i="1" l="1"/>
  <c r="I13" i="1" s="1"/>
  <c r="J19" i="1"/>
  <c r="G19" i="1"/>
  <c r="O19" i="1"/>
  <c r="M25" i="1"/>
  <c r="H25" i="1"/>
  <c r="F25" i="1" s="1"/>
  <c r="D25" i="1" s="1"/>
  <c r="G42" i="1" l="1"/>
  <c r="G40" i="1"/>
  <c r="G36" i="1"/>
  <c r="G22" i="3" l="1"/>
  <c r="I22" i="3" l="1"/>
  <c r="G16" i="3"/>
  <c r="I16" i="3" s="1"/>
  <c r="D22" i="3"/>
  <c r="L25" i="4"/>
  <c r="H22" i="3"/>
  <c r="E22" i="3" s="1"/>
  <c r="E25" i="4" l="1"/>
  <c r="H25" i="4"/>
  <c r="P24" i="1"/>
  <c r="M24" i="1" s="1"/>
  <c r="P23" i="1"/>
  <c r="M23" i="1" s="1"/>
  <c r="P22" i="1"/>
  <c r="M22" i="1" s="1"/>
  <c r="P21" i="1"/>
  <c r="AB42" i="4"/>
  <c r="AB40" i="4"/>
  <c r="AB38" i="4"/>
  <c r="AB36" i="4"/>
  <c r="AB34" i="4"/>
  <c r="AB29" i="4"/>
  <c r="AB27" i="4"/>
  <c r="Z42" i="4"/>
  <c r="Z40" i="4"/>
  <c r="Z38" i="4"/>
  <c r="Z36" i="4"/>
  <c r="Z34" i="4"/>
  <c r="Z29" i="4"/>
  <c r="Z27" i="4"/>
  <c r="Z24" i="4"/>
  <c r="X42" i="4"/>
  <c r="X40" i="4"/>
  <c r="X38" i="4"/>
  <c r="X36" i="4"/>
  <c r="X34" i="4"/>
  <c r="X29" i="4"/>
  <c r="X27" i="4"/>
  <c r="X24" i="4"/>
  <c r="X23" i="4"/>
  <c r="X22" i="4"/>
  <c r="X21" i="4"/>
  <c r="T42" i="4"/>
  <c r="T40" i="4"/>
  <c r="T38" i="4"/>
  <c r="T36" i="4"/>
  <c r="T34" i="4"/>
  <c r="T29" i="4"/>
  <c r="T27" i="4"/>
  <c r="T21" i="4"/>
  <c r="R42" i="4"/>
  <c r="R40" i="4"/>
  <c r="R38" i="4"/>
  <c r="R36" i="4"/>
  <c r="R34" i="4"/>
  <c r="R29" i="4"/>
  <c r="R27" i="4"/>
  <c r="R21" i="4"/>
  <c r="P38" i="4"/>
  <c r="P34" i="4"/>
  <c r="P29" i="4"/>
  <c r="P24" i="4"/>
  <c r="N42" i="4"/>
  <c r="N40" i="4"/>
  <c r="N38" i="4"/>
  <c r="N36" i="4"/>
  <c r="N34" i="4"/>
  <c r="N29" i="4"/>
  <c r="N24" i="4"/>
  <c r="N22" i="4"/>
  <c r="J42" i="4"/>
  <c r="J40" i="4"/>
  <c r="J38" i="4"/>
  <c r="J36" i="4"/>
  <c r="J34" i="4"/>
  <c r="J29" i="4"/>
  <c r="J24" i="4"/>
  <c r="P19" i="1" l="1"/>
  <c r="V42" i="4"/>
  <c r="U42" i="4"/>
  <c r="K42" i="4"/>
  <c r="I42" i="4"/>
  <c r="V40" i="4"/>
  <c r="U40" i="4"/>
  <c r="K40" i="4"/>
  <c r="I40" i="4"/>
  <c r="V38" i="4"/>
  <c r="U38" i="4"/>
  <c r="K38" i="4"/>
  <c r="V36" i="4"/>
  <c r="U36" i="4"/>
  <c r="K36" i="4"/>
  <c r="I36" i="4"/>
  <c r="V34" i="4"/>
  <c r="U34" i="4"/>
  <c r="K34" i="4"/>
  <c r="G34" i="4" s="1"/>
  <c r="D34" i="4" s="1"/>
  <c r="V29" i="4"/>
  <c r="U29" i="4"/>
  <c r="K29" i="4"/>
  <c r="V27" i="4"/>
  <c r="U27" i="4"/>
  <c r="O27" i="4"/>
  <c r="M27" i="4"/>
  <c r="I27" i="4"/>
  <c r="U25" i="4"/>
  <c r="K25" i="4"/>
  <c r="G25" i="4" s="1"/>
  <c r="AA24" i="4"/>
  <c r="Y24" i="4"/>
  <c r="O24" i="4"/>
  <c r="M24" i="4"/>
  <c r="I24" i="4"/>
  <c r="AA23" i="4"/>
  <c r="Y23" i="4"/>
  <c r="Q23" i="4"/>
  <c r="Q19" i="4" s="1"/>
  <c r="O23" i="4"/>
  <c r="M23" i="4"/>
  <c r="I23" i="4"/>
  <c r="AA22" i="4"/>
  <c r="Y22" i="4"/>
  <c r="O22" i="4"/>
  <c r="M22" i="4"/>
  <c r="I22" i="4"/>
  <c r="AA21" i="4"/>
  <c r="Y21" i="4"/>
  <c r="O21" i="4"/>
  <c r="M21" i="4"/>
  <c r="I21" i="4"/>
  <c r="W19" i="4"/>
  <c r="S19" i="4"/>
  <c r="AA17" i="4"/>
  <c r="Y17" i="4"/>
  <c r="W17" i="4"/>
  <c r="S17" i="4"/>
  <c r="Q17" i="4"/>
  <c r="O17" i="4"/>
  <c r="M17" i="4"/>
  <c r="I17" i="4"/>
  <c r="AA16" i="4"/>
  <c r="Y16" i="4"/>
  <c r="Y15" i="4" s="1"/>
  <c r="W16" i="4"/>
  <c r="W15" i="4" s="1"/>
  <c r="S16" i="4"/>
  <c r="Q16" i="4"/>
  <c r="O16" i="4"/>
  <c r="O15" i="4" s="1"/>
  <c r="M16" i="4"/>
  <c r="I16" i="4"/>
  <c r="D25" i="4" l="1"/>
  <c r="I15" i="4"/>
  <c r="S15" i="4"/>
  <c r="I19" i="4"/>
  <c r="K17" i="4"/>
  <c r="K22" i="4"/>
  <c r="L22" i="4" s="1"/>
  <c r="U22" i="4"/>
  <c r="G40" i="4"/>
  <c r="D40" i="4" s="1"/>
  <c r="G38" i="4"/>
  <c r="D38" i="4" s="1"/>
  <c r="U16" i="4"/>
  <c r="K21" i="4"/>
  <c r="G21" i="4" s="1"/>
  <c r="G36" i="4"/>
  <c r="D36" i="4" s="1"/>
  <c r="O19" i="4"/>
  <c r="AA15" i="4"/>
  <c r="U23" i="4"/>
  <c r="G22" i="4"/>
  <c r="K23" i="4"/>
  <c r="Q15" i="4"/>
  <c r="Q13" i="4" s="1"/>
  <c r="M15" i="4"/>
  <c r="I13" i="4"/>
  <c r="U24" i="4"/>
  <c r="M19" i="4"/>
  <c r="Y19" i="4"/>
  <c r="Y13" i="4" s="1"/>
  <c r="U21" i="4"/>
  <c r="U17" i="4"/>
  <c r="G42" i="4"/>
  <c r="D42" i="4" s="1"/>
  <c r="S13" i="4"/>
  <c r="K16" i="4"/>
  <c r="G17" i="4"/>
  <c r="W13" i="4"/>
  <c r="K24" i="4"/>
  <c r="G24" i="4" s="1"/>
  <c r="K27" i="4"/>
  <c r="G27" i="4" s="1"/>
  <c r="G29" i="4"/>
  <c r="D29" i="4" s="1"/>
  <c r="AA19" i="4"/>
  <c r="K15" i="4" l="1"/>
  <c r="M13" i="4"/>
  <c r="L24" i="4"/>
  <c r="D22" i="4"/>
  <c r="O13" i="4"/>
  <c r="D24" i="4"/>
  <c r="U15" i="4"/>
  <c r="U19" i="4"/>
  <c r="G23" i="4"/>
  <c r="D23" i="4" s="1"/>
  <c r="D17" i="4"/>
  <c r="G16" i="4"/>
  <c r="L27" i="4"/>
  <c r="K19" i="4"/>
  <c r="K13" i="4" s="1"/>
  <c r="D21" i="4"/>
  <c r="AA13" i="4"/>
  <c r="D27" i="4"/>
  <c r="U13" i="4" l="1"/>
  <c r="G15" i="4"/>
  <c r="D16" i="4"/>
  <c r="D19" i="4"/>
  <c r="G19" i="4"/>
  <c r="D15" i="4" l="1"/>
  <c r="G13" i="4"/>
  <c r="D13" i="4" l="1"/>
  <c r="E38" i="4" l="1"/>
  <c r="G33" i="3"/>
  <c r="I33" i="3" s="1"/>
  <c r="H33" i="3" l="1"/>
  <c r="D33" i="3"/>
  <c r="E33" i="3" s="1"/>
  <c r="V24" i="4"/>
  <c r="V23" i="4"/>
  <c r="H38" i="4"/>
  <c r="J19" i="4"/>
  <c r="V22" i="4"/>
  <c r="V21" i="4"/>
  <c r="L21" i="4"/>
  <c r="L16" i="4"/>
  <c r="AE12" i="3"/>
  <c r="J12" i="3"/>
  <c r="L17" i="4"/>
  <c r="S12" i="3"/>
  <c r="V16" i="4"/>
  <c r="H34" i="4"/>
  <c r="H21" i="3"/>
  <c r="E21" i="3" s="1"/>
  <c r="E34" i="4"/>
  <c r="P12" i="3"/>
  <c r="R12" i="3" l="1"/>
  <c r="U12" i="3"/>
  <c r="AG12" i="3"/>
  <c r="J10" i="3"/>
  <c r="L12" i="3"/>
  <c r="L10" i="3" s="1"/>
  <c r="AE10" i="3"/>
  <c r="P10" i="3"/>
  <c r="S10" i="3"/>
  <c r="T12" i="3"/>
  <c r="AF12" i="3"/>
  <c r="D16" i="3"/>
  <c r="H20" i="3"/>
  <c r="E20" i="3" s="1"/>
  <c r="V19" i="4"/>
  <c r="H42" i="4"/>
  <c r="H36" i="4"/>
  <c r="H40" i="4"/>
  <c r="Z19" i="4"/>
  <c r="AB19" i="4"/>
  <c r="P19" i="4"/>
  <c r="R19" i="4"/>
  <c r="N19" i="4"/>
  <c r="D12" i="3"/>
  <c r="AB13" i="4"/>
  <c r="H24" i="4"/>
  <c r="H22" i="4"/>
  <c r="K12" i="3"/>
  <c r="Q12" i="3"/>
  <c r="H21" i="4"/>
  <c r="H24" i="1"/>
  <c r="AF10" i="3" l="1"/>
  <c r="K10" i="3"/>
  <c r="Q10" i="3"/>
  <c r="AG10" i="3"/>
  <c r="U10" i="3"/>
  <c r="R10" i="3"/>
  <c r="P15" i="4"/>
  <c r="T10" i="3"/>
  <c r="P13" i="4" s="1"/>
  <c r="E16" i="3"/>
  <c r="N13" i="4"/>
  <c r="R13" i="4"/>
  <c r="E42" i="4"/>
  <c r="Z13" i="4"/>
  <c r="H23" i="4"/>
  <c r="H16" i="3"/>
  <c r="E40" i="4"/>
  <c r="J13" i="4"/>
  <c r="G26" i="3"/>
  <c r="L19" i="4"/>
  <c r="H17" i="4"/>
  <c r="T13" i="4"/>
  <c r="E22" i="4"/>
  <c r="E36" i="4"/>
  <c r="H24" i="3"/>
  <c r="E24" i="3" s="1"/>
  <c r="N12" i="3"/>
  <c r="N10" i="3" s="1"/>
  <c r="G10" i="3" l="1"/>
  <c r="I26" i="3"/>
  <c r="I10" i="3" s="1"/>
  <c r="D26" i="3"/>
  <c r="E24" i="4"/>
  <c r="L15" i="4"/>
  <c r="E23" i="4"/>
  <c r="E27" i="4"/>
  <c r="H31" i="4"/>
  <c r="H12" i="3"/>
  <c r="H16" i="4"/>
  <c r="H27" i="4"/>
  <c r="H19" i="4"/>
  <c r="E31" i="4" l="1"/>
  <c r="H15" i="4"/>
  <c r="E16" i="4"/>
  <c r="F24" i="1" l="1"/>
  <c r="H17" i="1"/>
  <c r="F17" i="1" s="1"/>
  <c r="H16" i="1"/>
  <c r="F16" i="1" s="1"/>
  <c r="H22" i="1"/>
  <c r="H23" i="1"/>
  <c r="F23" i="1" s="1"/>
  <c r="H42" i="1"/>
  <c r="F42" i="1" s="1"/>
  <c r="H40" i="1"/>
  <c r="F40" i="1" s="1"/>
  <c r="H38" i="1"/>
  <c r="F38" i="1" s="1"/>
  <c r="H36" i="1"/>
  <c r="F36" i="1" s="1"/>
  <c r="H34" i="1"/>
  <c r="F34" i="1" s="1"/>
  <c r="H27" i="1"/>
  <c r="F27" i="1" s="1"/>
  <c r="G15" i="1"/>
  <c r="G13" i="1" s="1"/>
  <c r="J15" i="1"/>
  <c r="K15" i="1"/>
  <c r="K13" i="1" s="1"/>
  <c r="L15" i="1"/>
  <c r="L13" i="1" s="1"/>
  <c r="M42" i="1"/>
  <c r="M40" i="1"/>
  <c r="M38" i="1"/>
  <c r="M36" i="1"/>
  <c r="M34" i="1"/>
  <c r="M27" i="1"/>
  <c r="O15" i="1"/>
  <c r="R28" i="1" l="1"/>
  <c r="J13" i="1"/>
  <c r="F22" i="1"/>
  <c r="D22" i="1" s="1"/>
  <c r="D23" i="1"/>
  <c r="D24" i="1"/>
  <c r="O13" i="1"/>
  <c r="F15" i="1"/>
  <c r="H15" i="1"/>
  <c r="P15" i="1"/>
  <c r="P13" i="1" s="1"/>
  <c r="M21" i="1"/>
  <c r="M19" i="1" s="1"/>
  <c r="L62" i="2" l="1"/>
  <c r="J59" i="2"/>
  <c r="F59" i="2" s="1"/>
  <c r="T57" i="2"/>
  <c r="J57" i="2"/>
  <c r="A50" i="2"/>
  <c r="F41" i="2"/>
  <c r="C41" i="2" s="1"/>
  <c r="T39" i="2"/>
  <c r="F39" i="2"/>
  <c r="T37" i="2"/>
  <c r="F37" i="2"/>
  <c r="G37" i="2" s="1"/>
  <c r="T35" i="2"/>
  <c r="F35" i="2"/>
  <c r="G35" i="2" s="1"/>
  <c r="T33" i="2"/>
  <c r="F33" i="2"/>
  <c r="F31" i="2"/>
  <c r="T29" i="2"/>
  <c r="F29" i="2"/>
  <c r="C27" i="2"/>
  <c r="T26" i="2"/>
  <c r="U26" i="2" s="1"/>
  <c r="F26" i="2"/>
  <c r="G25" i="2"/>
  <c r="D25" i="2" s="1"/>
  <c r="F25" i="2"/>
  <c r="C25" i="2" s="1"/>
  <c r="T24" i="2"/>
  <c r="F24" i="2"/>
  <c r="X21" i="2"/>
  <c r="Y21" i="2" s="1"/>
  <c r="P21" i="2"/>
  <c r="V21" i="2"/>
  <c r="S21" i="2"/>
  <c r="R20" i="2"/>
  <c r="N21" i="2"/>
  <c r="O21" i="2" s="1"/>
  <c r="F22" i="2"/>
  <c r="G22" i="2" s="1"/>
  <c r="H21" i="2"/>
  <c r="I21" i="2" s="1"/>
  <c r="Z21" i="2"/>
  <c r="AA21" i="2" s="1"/>
  <c r="W21" i="2"/>
  <c r="R21" i="2"/>
  <c r="Q21" i="2"/>
  <c r="L21" i="2"/>
  <c r="W20" i="2"/>
  <c r="V20" i="2"/>
  <c r="U53" i="2" s="1"/>
  <c r="F18" i="2"/>
  <c r="X14" i="2"/>
  <c r="T16" i="2"/>
  <c r="U16" i="2" s="1"/>
  <c r="V14" i="2"/>
  <c r="F16" i="2"/>
  <c r="R14" i="2"/>
  <c r="R12" i="2" s="1"/>
  <c r="N14" i="2"/>
  <c r="O14" i="2" s="1"/>
  <c r="J14" i="2"/>
  <c r="L14" i="2"/>
  <c r="M14" i="2" s="1"/>
  <c r="D38" i="1"/>
  <c r="M16" i="1"/>
  <c r="C16" i="2" l="1"/>
  <c r="C39" i="2"/>
  <c r="C37" i="2"/>
  <c r="D37" i="2" s="1"/>
  <c r="D16" i="1"/>
  <c r="S20" i="2"/>
  <c r="J21" i="2"/>
  <c r="J20" i="2" s="1"/>
  <c r="J12" i="2" s="1"/>
  <c r="T23" i="2"/>
  <c r="U23" i="2" s="1"/>
  <c r="C26" i="2"/>
  <c r="V12" i="2"/>
  <c r="F57" i="2"/>
  <c r="C57" i="2" s="1"/>
  <c r="C33" i="2"/>
  <c r="D33" i="2" s="1"/>
  <c r="K57" i="2"/>
  <c r="G57" i="2" s="1"/>
  <c r="D57" i="2" s="1"/>
  <c r="T59" i="2"/>
  <c r="C29" i="2"/>
  <c r="D29" i="2" s="1"/>
  <c r="T22" i="2"/>
  <c r="U22" i="2" s="1"/>
  <c r="X12" i="2"/>
  <c r="K59" i="2"/>
  <c r="G59" i="2" s="1"/>
  <c r="F17" i="2"/>
  <c r="T17" i="2"/>
  <c r="U17" i="2" s="1"/>
  <c r="D34" i="1"/>
  <c r="N12" i="2"/>
  <c r="O12" i="2" s="1"/>
  <c r="W14" i="2"/>
  <c r="Z14" i="2"/>
  <c r="Z12" i="2" s="1"/>
  <c r="Y14" i="2"/>
  <c r="M21" i="2"/>
  <c r="F23" i="2"/>
  <c r="H20" i="2"/>
  <c r="P20" i="2"/>
  <c r="D27" i="2"/>
  <c r="G31" i="2"/>
  <c r="C35" i="2"/>
  <c r="D35" i="2" s="1"/>
  <c r="H14" i="2"/>
  <c r="I14" i="2" s="1"/>
  <c r="F15" i="2"/>
  <c r="G15" i="2" s="1"/>
  <c r="P14" i="2"/>
  <c r="T15" i="2"/>
  <c r="K14" i="2"/>
  <c r="S14" i="2"/>
  <c r="L75" i="2"/>
  <c r="T31" i="2"/>
  <c r="C31" i="2" s="1"/>
  <c r="G33" i="2"/>
  <c r="G39" i="2"/>
  <c r="D39" i="2" s="1"/>
  <c r="U24" i="2"/>
  <c r="C24" i="2"/>
  <c r="G29" i="2"/>
  <c r="U33" i="2"/>
  <c r="G17" i="2"/>
  <c r="G26" i="2"/>
  <c r="C59" i="2"/>
  <c r="G16" i="2"/>
  <c r="D16" i="2" s="1"/>
  <c r="F21" i="2"/>
  <c r="F20" i="2"/>
  <c r="G20" i="2" s="1"/>
  <c r="G23" i="2"/>
  <c r="L12" i="2"/>
  <c r="M12" i="2" s="1"/>
  <c r="T18" i="2"/>
  <c r="G41" i="2"/>
  <c r="D41" i="2" s="1"/>
  <c r="K21" i="2"/>
  <c r="G24" i="2"/>
  <c r="H21" i="1"/>
  <c r="H19" i="1" s="1"/>
  <c r="H13" i="1" s="1"/>
  <c r="C17" i="2" l="1"/>
  <c r="T14" i="2"/>
  <c r="C15" i="2"/>
  <c r="D31" i="2"/>
  <c r="W12" i="2"/>
  <c r="AA14" i="2"/>
  <c r="AA12" i="2" s="1"/>
  <c r="K12" i="2"/>
  <c r="P12" i="2"/>
  <c r="C23" i="2"/>
  <c r="D23" i="2" s="1"/>
  <c r="T20" i="2"/>
  <c r="U20" i="2" s="1"/>
  <c r="T21" i="2"/>
  <c r="U21" i="2" s="1"/>
  <c r="D26" i="2"/>
  <c r="D59" i="2"/>
  <c r="G21" i="2"/>
  <c r="C22" i="2"/>
  <c r="D22" i="2" s="1"/>
  <c r="F21" i="1"/>
  <c r="F19" i="1" s="1"/>
  <c r="F13" i="1" s="1"/>
  <c r="Q14" i="2"/>
  <c r="U15" i="2"/>
  <c r="H12" i="2"/>
  <c r="I12" i="2" s="1"/>
  <c r="U18" i="2"/>
  <c r="F14" i="2"/>
  <c r="F12" i="2" s="1"/>
  <c r="S12" i="2"/>
  <c r="Y12" i="2"/>
  <c r="C18" i="2"/>
  <c r="D24" i="2"/>
  <c r="D17" i="2"/>
  <c r="D27" i="1"/>
  <c r="D15" i="2" l="1"/>
  <c r="G53" i="2"/>
  <c r="U14" i="2"/>
  <c r="C20" i="2"/>
  <c r="D20" i="2" s="1"/>
  <c r="Q12" i="2"/>
  <c r="D21" i="1"/>
  <c r="D19" i="1" s="1"/>
  <c r="T12" i="2"/>
  <c r="U12" i="2" s="1"/>
  <c r="C21" i="2"/>
  <c r="D21" i="2" s="1"/>
  <c r="G14" i="2"/>
  <c r="G12" i="2" s="1"/>
  <c r="D18" i="2"/>
  <c r="E15" i="2"/>
  <c r="C14" i="2"/>
  <c r="C12" i="2" l="1"/>
  <c r="E12" i="2"/>
  <c r="D14" i="2"/>
  <c r="D12" i="2" s="1"/>
  <c r="E21" i="4" l="1"/>
  <c r="E19" i="4" l="1"/>
  <c r="AH12" i="3"/>
  <c r="M17" i="1"/>
  <c r="AJ12" i="3" l="1"/>
  <c r="AH10" i="3"/>
  <c r="D10" i="3" s="1"/>
  <c r="AI12" i="3"/>
  <c r="AI10" i="3" s="1"/>
  <c r="D17" i="1"/>
  <c r="D15" i="1" s="1"/>
  <c r="D13" i="1" s="1"/>
  <c r="M15" i="1"/>
  <c r="M13" i="1" s="1"/>
  <c r="N15" i="1"/>
  <c r="N13" i="1" s="1"/>
  <c r="AJ10" i="3" l="1"/>
  <c r="X13" i="4"/>
  <c r="V15" i="4" l="1"/>
  <c r="V13" i="4"/>
  <c r="E12" i="3"/>
  <c r="E17" i="4" l="1"/>
  <c r="E15" i="4" l="1"/>
  <c r="H31" i="3"/>
  <c r="E31" i="3" s="1"/>
  <c r="L13" i="4"/>
  <c r="H26" i="3" l="1"/>
  <c r="E32" i="4"/>
  <c r="H32" i="4"/>
  <c r="H10" i="3" l="1"/>
  <c r="H29" i="4"/>
  <c r="E26" i="3"/>
  <c r="H13" i="4" l="1"/>
  <c r="E10" i="3"/>
  <c r="E13" i="4" s="1"/>
  <c r="E29" i="4"/>
</calcChain>
</file>

<file path=xl/sharedStrings.xml><?xml version="1.0" encoding="utf-8"?>
<sst xmlns="http://schemas.openxmlformats.org/spreadsheetml/2006/main" count="4543" uniqueCount="777">
  <si>
    <t>CAJA DE SEGURO SOCIAL</t>
  </si>
  <si>
    <t>UNIDAD TÉCNICA ESPECIALIZADA DE INVERSIONES</t>
  </si>
  <si>
    <t xml:space="preserve">SALDO DE LAS RESERVAS FINANCIERAS, POR CLASES DE ACTIVOS FINANCIEROS </t>
  </si>
  <si>
    <t>(EN MILLONES DE BALBOAS)</t>
  </si>
  <si>
    <t>PRELIMINAR</t>
  </si>
  <si>
    <t>ACTIVOS FINANCIEROS</t>
  </si>
  <si>
    <t>TOTAL CSS</t>
  </si>
  <si>
    <t>RIESGO DE IVM</t>
  </si>
  <si>
    <t>RIESGOS  PROF.</t>
  </si>
  <si>
    <t>ENF. Y MAT.</t>
  </si>
  <si>
    <t>TOTAL IVM</t>
  </si>
  <si>
    <t>SUBS. EXC. BENEF. DEF.</t>
  </si>
  <si>
    <t>TOTAL SUBS. MIXTO</t>
  </si>
  <si>
    <t>AHORRO PERSONAL</t>
  </si>
  <si>
    <t xml:space="preserve"> BENEF. DEF.</t>
  </si>
  <si>
    <t>TOTAL ADMÓN.</t>
  </si>
  <si>
    <t>ADMÓN.</t>
  </si>
  <si>
    <t xml:space="preserve">TOTAL </t>
  </si>
  <si>
    <t xml:space="preserve"> </t>
  </si>
  <si>
    <t>1.  DEPÓSITOS A PLAZO FIJO</t>
  </si>
  <si>
    <t xml:space="preserve">          BANCO NACIONAL DE PANAMÁ (BNP)</t>
  </si>
  <si>
    <t xml:space="preserve">          CAJA DE AHORROS (CA)</t>
  </si>
  <si>
    <t>2.  VALORES DEL ESTADO</t>
  </si>
  <si>
    <t xml:space="preserve">          BONOS Y NOTAS DEL TESORO</t>
  </si>
  <si>
    <t xml:space="preserve">          BONOS DEL TESORO</t>
  </si>
  <si>
    <t xml:space="preserve">          NOTAS DEL TESORO</t>
  </si>
  <si>
    <t xml:space="preserve">          BONOS GLOBALES</t>
  </si>
  <si>
    <t xml:space="preserve">          BONOS ETESA</t>
  </si>
  <si>
    <t xml:space="preserve">          BONOS ROTATIVOS BNP</t>
  </si>
  <si>
    <t xml:space="preserve">          LETRAS DEL TESORO</t>
  </si>
  <si>
    <t>3.  DEPÓSITOS BANCOS PRIVADOS</t>
  </si>
  <si>
    <t>4.  VALORES CORPORATIVOS</t>
  </si>
  <si>
    <t>6.  PRÉSTAMOS HIPOTECARIOS</t>
  </si>
  <si>
    <t>7.  PRÉSTAMOS AL B.H.N</t>
  </si>
  <si>
    <t>8.  PRÉSTAMOS A JUBILADOS</t>
  </si>
  <si>
    <t>4.1  VALORES CORP AITSA</t>
  </si>
  <si>
    <t>4.2  VALORES CORP PRIVADO</t>
  </si>
  <si>
    <t>DE ACUERDO A LO INSTRUIDO POR EL LCDO. RAFAEL GUILLÉN, SE AÑADE CELDAS DE VALORES CORPORATIVOS AITSA, PRIVADO 12-12-2018</t>
  </si>
  <si>
    <t>RENDIMIENTO PROMEDIO DE LAS RESERVAS FINANCIERAS, POR CLASES DE ACTIVOS FINANCIEROS</t>
  </si>
  <si>
    <t>(EN %)</t>
  </si>
  <si>
    <t>GESTIÓN DE ADMINISTRACIÓN *</t>
  </si>
  <si>
    <t>S.C. RENTA VITALICIA</t>
  </si>
  <si>
    <t>S.C. INVALIDEZ</t>
  </si>
  <si>
    <t xml:space="preserve">         DEPÓSITOS TRANSITORIOS BNP</t>
  </si>
  <si>
    <t xml:space="preserve">         DEPÓSITOS TRANSITORIOS CA</t>
  </si>
  <si>
    <t>5.  BONOS MULTILATERALES</t>
  </si>
  <si>
    <t>9.  PRÉST. A FUNCIONARIOS CSS*</t>
  </si>
  <si>
    <t>*   Seguros Colectivos incorporados a la Gestión de Administración.</t>
  </si>
  <si>
    <t>**   Tasa Nominal de Interés</t>
  </si>
  <si>
    <t>Preparado por: Lcda. Sully Díaz - UTEI</t>
  </si>
  <si>
    <t>Revisado por: UTEI</t>
  </si>
  <si>
    <t xml:space="preserve">Revisado por: Lcda.  Lilia Psomas. - Directora de Inversiones Financieras Interina,  -UTEI </t>
  </si>
  <si>
    <t>1.  DEPÓSITOS A PLAZO FIJO Y OVERNIGHT</t>
  </si>
  <si>
    <t>4.   TÍTULOS VALORES CORPORATIVOS</t>
  </si>
  <si>
    <t>5.  TÍTULOS VALORES MULTILATERALES</t>
  </si>
  <si>
    <t>9.  PRÉSTAMOS FUNCIONARIOS CSS</t>
  </si>
  <si>
    <t>Activos Financieros</t>
  </si>
  <si>
    <t>Total</t>
  </si>
  <si>
    <t>Total                            IVM</t>
  </si>
  <si>
    <t>Riesgo de Invalidez, Vejez y Muerte (IVM)</t>
  </si>
  <si>
    <t>Total Subsistema Mixto</t>
  </si>
  <si>
    <t>Componente Ahorro Personal</t>
  </si>
  <si>
    <t>Componente Beneficio Definido</t>
  </si>
  <si>
    <t>Riesgos Profesionales</t>
  </si>
  <si>
    <t>Enfermedad y Maternidad</t>
  </si>
  <si>
    <t xml:space="preserve">Gestión de Administración </t>
  </si>
  <si>
    <t>Total Administración</t>
  </si>
  <si>
    <t>Administración</t>
  </si>
  <si>
    <t>Renta Vitalicia</t>
  </si>
  <si>
    <t>Invalidez</t>
  </si>
  <si>
    <t>Reserva Contable al 31-12-2020 (preliminar)</t>
  </si>
  <si>
    <t>Notas:</t>
  </si>
  <si>
    <t>- Para los préstamos se refleja el saldo amortizado a la fecha.</t>
  </si>
  <si>
    <t>- Informes preliminares suministrados por la Dirección Nacional de Contabilidad CSS.</t>
  </si>
  <si>
    <t>Fuentes:</t>
  </si>
  <si>
    <t>- Informes preliminares suministrados por los Programas de Préstamos de la CSS.</t>
  </si>
  <si>
    <t>Subsistema Exclusivamente de Beneficio Definido</t>
  </si>
  <si>
    <t>- Para depósitos a plazo y títulos valores se refleja el saldo nominal a valor negociado histórico.</t>
  </si>
  <si>
    <t>- Inventarios de inversiones financieras (preliminares) suministrados por el Departamento de Tesorería de la Dirección Nacional de Finanzas CSS.</t>
  </si>
  <si>
    <t>- Cálculos y estimaciones propias (preliminares).</t>
  </si>
  <si>
    <r>
      <t xml:space="preserve">Seguros Colectivos </t>
    </r>
    <r>
      <rPr>
        <b/>
        <sz val="10"/>
        <rFont val="Arial"/>
        <family val="2"/>
      </rPr>
      <t>(Sub. Sistema Mixto)</t>
    </r>
  </si>
  <si>
    <t>- Los datos corresponden a cifras preliminares, son de carácter indicativo / informativo y no deben ser utilizados para otros fines.</t>
  </si>
  <si>
    <t xml:space="preserve">RENDIMIENTO DE LAS RESERVAS FINANCIERAS, POR CLASES DE ACTIVOS FINANCIEROS </t>
  </si>
  <si>
    <t>AL 31 DE DICIEMBRE DE 2020</t>
  </si>
  <si>
    <t>- Se utilizó la metodología de cálculo de rendimiento corriente ponderado.</t>
  </si>
  <si>
    <t xml:space="preserve">          BONOS ROTATIVOS CA</t>
  </si>
  <si>
    <t>(en millones de balboas)</t>
  </si>
  <si>
    <t xml:space="preserve">          BONOS AITSA (Aeropuerto de Tocumen)</t>
  </si>
  <si>
    <t xml:space="preserve">          BONOS ETESA (Transmisión Eléctrica)</t>
  </si>
  <si>
    <t xml:space="preserve">          BONOS CORPORATIVOS PRIVADOS</t>
  </si>
  <si>
    <t>CUADRO #8</t>
  </si>
  <si>
    <t>DEPARTAMENTO DE TESORERIA</t>
  </si>
  <si>
    <t xml:space="preserve"> BONOS NEGOCIABLES Y NOTAS DEL TESORO,           </t>
  </si>
  <si>
    <t>GESTION ADMINISTRATIVA (SEGUROS COLECTIVOS DEL SUBSISTEMA MIXTO DE PENSIONES)</t>
  </si>
  <si>
    <t>AL 31 DE MARZO DE 2022</t>
  </si>
  <si>
    <t>(EN BALBOAS)</t>
  </si>
  <si>
    <t>EMISIÓN</t>
  </si>
  <si>
    <t>TASA (%)</t>
  </si>
  <si>
    <t xml:space="preserve">PERIODO  PACTADO                                          DEL                     AL </t>
  </si>
  <si>
    <t xml:space="preserve">VALOR NOMINAL </t>
  </si>
  <si>
    <t>VALOR NEGOCIADO</t>
  </si>
  <si>
    <t>TOTAL</t>
  </si>
  <si>
    <t>SEGURO COLECTIVO RENTA VITALICIA</t>
  </si>
  <si>
    <t>BONOS GLOBALES Pma 2026</t>
  </si>
  <si>
    <t>US698299AV61-01-05-2009</t>
  </si>
  <si>
    <t>US698299AV61-01-06-2009</t>
  </si>
  <si>
    <t>US698299AV61-10-01-2008</t>
  </si>
  <si>
    <t>US698299AV61-10-02-2008</t>
  </si>
  <si>
    <t>US698299AV61-10-03-2008</t>
  </si>
  <si>
    <t>US698299AV61-01-04-2009</t>
  </si>
  <si>
    <t>BONOS GLOBALES Pma 2036</t>
  </si>
  <si>
    <t>US698299AW45-07-01-2008</t>
  </si>
  <si>
    <t>US698299AW45-02-02-2010</t>
  </si>
  <si>
    <t>US698299AW45-01-03-2009</t>
  </si>
  <si>
    <t>US698299AW45-04-04-2009</t>
  </si>
  <si>
    <t>US698299AW45-06-05-2009</t>
  </si>
  <si>
    <t>US698299AW45-08-06-2009</t>
  </si>
  <si>
    <t>US698299AW45-02-07-2010</t>
  </si>
  <si>
    <t>US698299AW45-02-08-2010</t>
  </si>
  <si>
    <t>BONOS GLOBALES Pma 2053</t>
  </si>
  <si>
    <t>US698299BB98-01-11-2019</t>
  </si>
  <si>
    <t>BONOS DEL TESORO</t>
  </si>
  <si>
    <t>BONOS DEL TESORO 2022</t>
  </si>
  <si>
    <t>PAL634445NA4-04-02-2012</t>
  </si>
  <si>
    <t>BONOS DEL TESORO 2024</t>
  </si>
  <si>
    <t>PAL634445OA2-07-04-2016</t>
  </si>
  <si>
    <t>PAL634445OA2-10-09-2018</t>
  </si>
  <si>
    <t>PAL634445OA2-06-10-2019</t>
  </si>
  <si>
    <t>BONOS DEL TESORO 2031</t>
  </si>
  <si>
    <t>PAL634445XA3-01-6-2021</t>
  </si>
  <si>
    <t>PAL634445XA3-04-11-2021</t>
  </si>
  <si>
    <t>NOTAS DEL TESORO PMA 2023</t>
  </si>
  <si>
    <t>PAL634445SA3-05-02-2018</t>
  </si>
  <si>
    <t>PAL634445SA3-08-04-2018</t>
  </si>
  <si>
    <t>PAL634445SA3-11-06-2018</t>
  </si>
  <si>
    <t>NOTAS DEL TESORO PMA 2026</t>
  </si>
  <si>
    <t>PAL634445TA1-01-04-2019</t>
  </si>
  <si>
    <t>NOTAS DEL TESORO PMA 2027</t>
  </si>
  <si>
    <t>PAL634445VA7-01-05-2021</t>
  </si>
  <si>
    <t>BONO ROTATIVO</t>
  </si>
  <si>
    <t>BANCO NACIONAL DE PANAMA  PAL3000411D0-01-09-2019</t>
  </si>
  <si>
    <t>SEGURO COLECTIVO DE INVALIDEZ</t>
  </si>
  <si>
    <t>BONOS GLOBALES PMA 2026</t>
  </si>
  <si>
    <t>US698299AV61-08-07-2008</t>
  </si>
  <si>
    <t>US698299AV61-10-08-2008</t>
  </si>
  <si>
    <t>US698299AV61-10-09-2008</t>
  </si>
  <si>
    <t>US698299AV61-01-10-2009</t>
  </si>
  <si>
    <t>US698299AV61-01-11-2009</t>
  </si>
  <si>
    <t>US698299AV61-01-12-2009</t>
  </si>
  <si>
    <t>BONOS GLOBALES PMA 2036</t>
  </si>
  <si>
    <t>US698299AW45-09-09-2008</t>
  </si>
  <si>
    <t>US698299AW45-01-10-2009</t>
  </si>
  <si>
    <t>US698299AW45-04-11-2009</t>
  </si>
  <si>
    <t>US698299AW45-06-12-2009</t>
  </si>
  <si>
    <t>US698299AW45-08-13-2009</t>
  </si>
  <si>
    <t>US698299AW45-02-14-2010</t>
  </si>
  <si>
    <t>US698299AW45-02-15-2010</t>
  </si>
  <si>
    <t xml:space="preserve">BONOS DEL TESORO </t>
  </si>
  <si>
    <t>PAL634445NA4-04-03-2012</t>
  </si>
  <si>
    <t>PAL634445XA3-01-06-2021</t>
  </si>
  <si>
    <t>BANCO NACIONAL DE PANAMA   PAL3000411D0-01-09-2019</t>
  </si>
  <si>
    <t>FUENTE:DEPTO. DE TESORERÍA - DNF / JP/emt</t>
  </si>
  <si>
    <t>_______________________________</t>
  </si>
  <si>
    <t>____________________________________</t>
  </si>
  <si>
    <t>Preparado por :    Lic. Enid M. Treotsch</t>
  </si>
  <si>
    <t>Verificado  por :    Lic. Julio C. Pérez</t>
  </si>
  <si>
    <t xml:space="preserve">      Cargo: Analista Financiero II</t>
  </si>
  <si>
    <t xml:space="preserve">      Cargo:  Encargado de la Sección de Análisis y Programación Financiera</t>
  </si>
  <si>
    <t>CUADRO #9</t>
  </si>
  <si>
    <t>BONOS NEGOCIABLES Y NOTAS DEL TESORO, DEL RIESGO DE INVALIDEZ, VEJEZ  Y MUERTE -                               SUBSISTEMA EXCLUSIVAMENTE DE BENEFICIO DEFINIDO</t>
  </si>
  <si>
    <t xml:space="preserve">PERIODO     PACTADO                                          DEL                  AL </t>
  </si>
  <si>
    <t>BONOS GLOBALES Pma 2050</t>
  </si>
  <si>
    <t>US698299BH68-04-1-2018</t>
  </si>
  <si>
    <t>BONOS DEL TESORO Pma 2022</t>
  </si>
  <si>
    <t>PAL634445NA4-01-01-2012</t>
  </si>
  <si>
    <t>PAL634445NA4-01-03-2012</t>
  </si>
  <si>
    <t>PAL634445NA4-04-04-2012</t>
  </si>
  <si>
    <t>PAL634445NA4-10-05-2012</t>
  </si>
  <si>
    <t>PAL634445NA4-10-06-2012</t>
  </si>
  <si>
    <t>PAL634445NA4-05-01-2018</t>
  </si>
  <si>
    <t>BONOS DEL TESORO Pma 2024</t>
  </si>
  <si>
    <t>PAL634445OA2-11-01-2013</t>
  </si>
  <si>
    <t>PAL634445OA2-06-02-2016</t>
  </si>
  <si>
    <t>PAL634445OA2-06-03-2016</t>
  </si>
  <si>
    <t>PAL634445OA2-06-04-2016</t>
  </si>
  <si>
    <t>PAL634445OA2-06-05-2016</t>
  </si>
  <si>
    <t>PAL634445OA2-06-06-2016</t>
  </si>
  <si>
    <t>PAL634445OA2-06-07-2016</t>
  </si>
  <si>
    <t>PAL634445OA2-06-08-2016</t>
  </si>
  <si>
    <t>PAL634445OA2-06-09-2016</t>
  </si>
  <si>
    <t>PAL634445OA2-06-10-2016</t>
  </si>
  <si>
    <t>PAL634445OA2-06-11-2016</t>
  </si>
  <si>
    <t>PAL634445OA2-06-12-2016</t>
  </si>
  <si>
    <t>PAL634445OA2-06-13-2016</t>
  </si>
  <si>
    <t>PAL634445OA2-06-14-2016</t>
  </si>
  <si>
    <t>PAL634445OA2-06-15-2016</t>
  </si>
  <si>
    <t>PAL634445OA2-07-16-2016</t>
  </si>
  <si>
    <t>PAL634445OA2-10-17-2016</t>
  </si>
  <si>
    <t>PAL634445OA2-03-18-2017</t>
  </si>
  <si>
    <t>PAL634445OA2-03-19-2017</t>
  </si>
  <si>
    <t>PAL634445OA2-03-20-2017</t>
  </si>
  <si>
    <t>PAL634445OA2-03-21-2017</t>
  </si>
  <si>
    <t>PAL634445OA2-06-22-2017</t>
  </si>
  <si>
    <t>PAL634445OA2-06-23-2017</t>
  </si>
  <si>
    <t>PAL634445OA2-06-24-2017</t>
  </si>
  <si>
    <t>PAL634445OA2-07-25-2017</t>
  </si>
  <si>
    <t>NOTAS DEL TESORO Pma 2023</t>
  </si>
  <si>
    <t>PAL634445SA3-03-01-2018</t>
  </si>
  <si>
    <t>PAL634445SA3-06-03-2018</t>
  </si>
  <si>
    <t>BANCO NACIONAL DE PANAMA     PAL3000411D0-01-09-2019</t>
  </si>
  <si>
    <t>ACCIONES</t>
  </si>
  <si>
    <t>ACCIONES (LATINEX HOLDING, INC.)</t>
  </si>
  <si>
    <t>_______________________________________</t>
  </si>
  <si>
    <t>Preparado por :    Lic. Enid M. Troetsch</t>
  </si>
  <si>
    <t xml:space="preserve">      Cargo:  Analista Financiero II</t>
  </si>
  <si>
    <t>CUADRO #10</t>
  </si>
  <si>
    <t>BONOS NEGOCIABLES Y NOTAS DEL TESORO, DEL RIESGO DE INVALIDEZ, VEJEZ  Y MUERTE POR COMPONENTE DEL SUBSISTEMA MIXTO DE PENSIONES</t>
  </si>
  <si>
    <t xml:space="preserve">   PERIODO                             DEL      </t>
  </si>
  <si>
    <t>PACTADO       AL</t>
  </si>
  <si>
    <t>COMPONENTE DE AHORRO PERSONAL</t>
  </si>
  <si>
    <t>BONOS GLOBALES 2026</t>
  </si>
  <si>
    <t>US698299AV61-10-2-2008</t>
  </si>
  <si>
    <t>US698299AV61-10-9-2008</t>
  </si>
  <si>
    <t>US698299AV61-10-6-2008</t>
  </si>
  <si>
    <t>US698299AV61-10-10-2009</t>
  </si>
  <si>
    <t>BONOS GLOBALES 2027</t>
  </si>
  <si>
    <t>US698299AD62-10-01-2008</t>
  </si>
  <si>
    <t>BONOS GLOBALES 2032</t>
  </si>
  <si>
    <t>US698299BN37-01-01-2021</t>
  </si>
  <si>
    <t>US698299BN37-02-05-2021</t>
  </si>
  <si>
    <t>US698299BN37-03-05-2021</t>
  </si>
  <si>
    <t>BONOS GLOBALES 2036</t>
  </si>
  <si>
    <t>US698299AW45-07-1-2009</t>
  </si>
  <si>
    <t>US698299AW45-07-2-2009</t>
  </si>
  <si>
    <t>US698299AW45-02-16-2010</t>
  </si>
  <si>
    <t>US698299AW45-07-5-2009</t>
  </si>
  <si>
    <t>US698299AW45-01-7-2009</t>
  </si>
  <si>
    <t>US698299AW45-04-9-2009</t>
  </si>
  <si>
    <t>US698299AW45-06-11-2009</t>
  </si>
  <si>
    <t>US698299AW45-02-17-2010</t>
  </si>
  <si>
    <t>US698299AW45-08-15-2009</t>
  </si>
  <si>
    <t>US698299AW45-02-18-2010</t>
  </si>
  <si>
    <t>US698299AW45-02-19-2010</t>
  </si>
  <si>
    <t>US698299AW45-02-20-2010</t>
  </si>
  <si>
    <t>US698299AW45-03-21-2010</t>
  </si>
  <si>
    <t>US698299AW45-07-01-2013</t>
  </si>
  <si>
    <t>BONOS GLOBALES 2047</t>
  </si>
  <si>
    <t>US698299BG85-05-01-2017</t>
  </si>
  <si>
    <t>US698299BG85-09-01-2018</t>
  </si>
  <si>
    <t>US698299BG85-09-02-2018</t>
  </si>
  <si>
    <t>US698299BG85-09-03-2018</t>
  </si>
  <si>
    <t>US698299BG85-09-04-2018</t>
  </si>
  <si>
    <t>US698299BH68-10-2-2018</t>
  </si>
  <si>
    <t>BONOS GLOBALES 2053</t>
  </si>
  <si>
    <t>US698299BB98-07-01-2013</t>
  </si>
  <si>
    <t>US698299BB98-08-03-2013</t>
  </si>
  <si>
    <t>BONOS GLOBALES 2060</t>
  </si>
  <si>
    <t>US698899BL70-01-01-2021</t>
  </si>
  <si>
    <t>PAL634445NA4-05-05-2012</t>
  </si>
  <si>
    <t>PAL634445NA4-06-07-2012</t>
  </si>
  <si>
    <t>PAL634445NA4-07-09-2012</t>
  </si>
  <si>
    <t>PAL634445NA4-11-12-2012</t>
  </si>
  <si>
    <t>PAL634445NA4-09-03-2018</t>
  </si>
  <si>
    <t>PAL634445OA2-10-05-2016</t>
  </si>
  <si>
    <t>PAL634445OA2-03-06-2017</t>
  </si>
  <si>
    <t>PAL634445OA2-06-07-2017</t>
  </si>
  <si>
    <t>PAL634445OA2-07-08-2017</t>
  </si>
  <si>
    <t>14-07-2017</t>
  </si>
  <si>
    <t>PAL634445OA2-07-10-2019</t>
  </si>
  <si>
    <t>BONOS DEL TESORO Pma 2029</t>
  </si>
  <si>
    <t>COMPRA VENTA- INTRAINSTITUCIONAL  PAL634445WA5-05-03-2021</t>
  </si>
  <si>
    <t>BONOS DEL TESORO Pma 2031</t>
  </si>
  <si>
    <t>PAL634445SA3-09-05-2018</t>
  </si>
  <si>
    <t>PAL634445SA3-02-05-2019</t>
  </si>
  <si>
    <t>NOTAS DEL TESORO Pma 2026</t>
  </si>
  <si>
    <t>BONOS CORPORATIVOS</t>
  </si>
  <si>
    <t>BONOS CORP. ETESA 2026       PAL3602111A4-01-05-2019</t>
  </si>
  <si>
    <t>BONOS ROTATIVOS</t>
  </si>
  <si>
    <t>CAJA DE AHORROS           PAL3015411B7-01-12-2021</t>
  </si>
  <si>
    <t>15/12/2021</t>
  </si>
  <si>
    <t>15/12/2029</t>
  </si>
  <si>
    <t>CAJA DE AHORROS           PAL3015421A8-01-12-2021</t>
  </si>
  <si>
    <t>20/12/2021</t>
  </si>
  <si>
    <t>22/12/2031</t>
  </si>
  <si>
    <t>COMPONENTE DE BENEFICIO DEFINIDO</t>
  </si>
  <si>
    <t>US698299AV61-10-8-2008</t>
  </si>
  <si>
    <t>US698299AV61-10-4-2008</t>
  </si>
  <si>
    <t>US698299AV61-10-5-2008</t>
  </si>
  <si>
    <t>US698299AV61-10-3-2008</t>
  </si>
  <si>
    <t>US698299AV61-10-7-2008</t>
  </si>
  <si>
    <t>US698299AV61-01-13-2009</t>
  </si>
  <si>
    <t>US698299AV61-01-14-2009</t>
  </si>
  <si>
    <t>US698299AV61-01-15-2009</t>
  </si>
  <si>
    <t>US698299AV61-02-16-2009</t>
  </si>
  <si>
    <t>US698299AV61-01-02-2009</t>
  </si>
  <si>
    <t>US698299AV61-01-03-2009</t>
  </si>
  <si>
    <t>US698299AV61-02-05-2009</t>
  </si>
  <si>
    <t>US698299AV61-03-06-2009</t>
  </si>
  <si>
    <t>US698299AV61-03-07-2009</t>
  </si>
  <si>
    <t>BONOS GLOBALES Pma 2032</t>
  </si>
  <si>
    <t>US698299BN37-01-1-2021</t>
  </si>
  <si>
    <t>27/01/2021</t>
  </si>
  <si>
    <t>US698299BN37-04-05-2021</t>
  </si>
  <si>
    <t>US698299AW45-07-3-2009</t>
  </si>
  <si>
    <t>US698299AW45-07-4-2009</t>
  </si>
  <si>
    <t>US698299AW45-02-22-2010</t>
  </si>
  <si>
    <t>US698299AW45-07-6-2009</t>
  </si>
  <si>
    <t>US698299AW45-02-23-2010</t>
  </si>
  <si>
    <t>US698299AW45-01-8-2009</t>
  </si>
  <si>
    <t>US698299AW45-04-10-2009</t>
  </si>
  <si>
    <t>US698299AW45-06-13-2009</t>
  </si>
  <si>
    <t>US698299AW45-06-14-2009</t>
  </si>
  <si>
    <t>US698299AW45-02-24-2010</t>
  </si>
  <si>
    <t>US698299AW45-02-25-2010</t>
  </si>
  <si>
    <t>US698299AW45-03-26-2010</t>
  </si>
  <si>
    <t>US698299AW45-03-27-2010</t>
  </si>
  <si>
    <t>US698299AW45-03-28-2010</t>
  </si>
  <si>
    <t>US698299AW45-07-02-2013</t>
  </si>
  <si>
    <t>US698299AW45-01-02-2009</t>
  </si>
  <si>
    <t>US698299AW45-03-04-2009</t>
  </si>
  <si>
    <t>US698299AW45-04-05-2009</t>
  </si>
  <si>
    <t>US698299AW45-04-06-2009</t>
  </si>
  <si>
    <t>US698299AW45-04-07-2009</t>
  </si>
  <si>
    <t>US698299AW45-04-08-2009</t>
  </si>
  <si>
    <t>US698299AW45-04-09-2009</t>
  </si>
  <si>
    <t>US698299AW45-06-10-2009</t>
  </si>
  <si>
    <t>US698299AW45-02-04-2010</t>
  </si>
  <si>
    <t>US698299AW45-04-05-2010</t>
  </si>
  <si>
    <t>BONOS GLOBALES Pma 2047</t>
  </si>
  <si>
    <t>US698299BG85-05-1-2017</t>
  </si>
  <si>
    <t>US698299BG85-05-02-2017</t>
  </si>
  <si>
    <t>US698299BH68-04-2-2018</t>
  </si>
  <si>
    <t>US698299BB98-07-02-2013</t>
  </si>
  <si>
    <t>US698299BB98-08-04-2013</t>
  </si>
  <si>
    <t>US698899BL70-02-05-2021</t>
  </si>
  <si>
    <t>US698899BL70-03-05-2021</t>
  </si>
  <si>
    <t>US698899BL70-04-05-2021</t>
  </si>
  <si>
    <t>PAL634445NA4-01-02-2012</t>
  </si>
  <si>
    <t>PAL634445NA4-05-06-2012</t>
  </si>
  <si>
    <t>PAL634445NA4-06-08-2012</t>
  </si>
  <si>
    <t>PAL634445NA4-07-10-2012</t>
  </si>
  <si>
    <t>PAL634445NA4-08-11-2012</t>
  </si>
  <si>
    <t>PAL634445NA4-11-03-2012</t>
  </si>
  <si>
    <t>PAL634445NA4-06-02-2018</t>
  </si>
  <si>
    <t>PAL634445NA4-07-02-2018</t>
  </si>
  <si>
    <t>PAL634445OA2-11-02-2013</t>
  </si>
  <si>
    <t>PAL634445OA2-11-03-2013</t>
  </si>
  <si>
    <t>PAL634445OA2-07-13-2016</t>
  </si>
  <si>
    <t>PAL634445OA2-10-15-2016</t>
  </si>
  <si>
    <t>PAL634445OA2-03-17-2017</t>
  </si>
  <si>
    <t>PAL634445WA5-01-12-2019</t>
  </si>
  <si>
    <t>COMPRA VENTA INTRAINSTITUCIONAL PAL634445WA5-05-03-2021</t>
  </si>
  <si>
    <t>PAL634445XA3-02-10-2021</t>
  </si>
  <si>
    <t>PAL634445SA3-01-04-2019</t>
  </si>
  <si>
    <t xml:space="preserve">Bonos del Tesoro Panama 2029 - FUENTE: /  Departamento de Contabilidad Especial- </t>
  </si>
  <si>
    <t>Cancelan obligaciones vencidas del Estado con la Caja de Seguro Social.</t>
  </si>
  <si>
    <t>5-3-2021 -Se realiza Compra Venta Intrainstitucional de Bonos del Tesoro 2029, entre riesgos.</t>
  </si>
  <si>
    <t>Verificado por :    Lic. Julio C. Pérez</t>
  </si>
  <si>
    <t xml:space="preserve">      Cargo:  Analista  Financiero II</t>
  </si>
  <si>
    <t>AL 30 DE JUNIO DE  2022</t>
  </si>
  <si>
    <t>Cuadro Nº8</t>
  </si>
  <si>
    <t>DEPÓSITOS A PLAZO FIJO, DE RIESGOS PROFESIONALES</t>
  </si>
  <si>
    <t>DEPÓSITO Nº</t>
  </si>
  <si>
    <t>PERÍODO PACTADO</t>
  </si>
  <si>
    <t>PLAZO</t>
  </si>
  <si>
    <t xml:space="preserve">IMPORTE   </t>
  </si>
  <si>
    <t>TASA DE INTERÉS %</t>
  </si>
  <si>
    <t xml:space="preserve">CUENTA BANCARIA </t>
  </si>
  <si>
    <t>DEL</t>
  </si>
  <si>
    <t>AL</t>
  </si>
  <si>
    <t>(En Balboas)</t>
  </si>
  <si>
    <t>TOTAL RIESGOS PROFESIONALES</t>
  </si>
  <si>
    <t>Banco Nacional de Panamá</t>
  </si>
  <si>
    <t>28/09/2022</t>
  </si>
  <si>
    <t>3 meses</t>
  </si>
  <si>
    <t>Cta. Gral./10000040865</t>
  </si>
  <si>
    <t>5 años</t>
  </si>
  <si>
    <t>23-04-2018</t>
  </si>
  <si>
    <t>24-04-2023</t>
  </si>
  <si>
    <t>6 años</t>
  </si>
  <si>
    <t>2232-2017</t>
  </si>
  <si>
    <t>7 años</t>
  </si>
  <si>
    <t>23-04-2025</t>
  </si>
  <si>
    <t>8 años</t>
  </si>
  <si>
    <t>compensacion economica</t>
  </si>
  <si>
    <t>723-2017</t>
  </si>
  <si>
    <t>Fideicomiso de R.P</t>
  </si>
  <si>
    <t>ok</t>
  </si>
  <si>
    <t>Cantidad de Depósitos:</t>
  </si>
  <si>
    <t>Cuadro Nº6</t>
  </si>
  <si>
    <t>DEPÓSITOS A PLAZO FIJO - RIESGO DE INVALIDEZ, VEJEZ Y MUERTE</t>
  </si>
  <si>
    <t xml:space="preserve"> SUBSISTEMA EXCLUSIVAMENTE DE BENEFICIO DEFINIDO</t>
  </si>
  <si>
    <t>IVM-SUBSISTEMA EXCLUSIVAMENTE DE BENEFICIO DEFINIDO</t>
  </si>
  <si>
    <t>1 dìa</t>
  </si>
  <si>
    <t>27-02-2018</t>
  </si>
  <si>
    <t>27-02-2023</t>
  </si>
  <si>
    <t>136-2018</t>
  </si>
  <si>
    <t>757-2017</t>
  </si>
  <si>
    <t>29-12-2017</t>
  </si>
  <si>
    <t>29-12-2025</t>
  </si>
  <si>
    <t>2704-2017</t>
  </si>
  <si>
    <t>Caja de Ahorros</t>
  </si>
  <si>
    <t>250-60001594</t>
  </si>
  <si>
    <t>250-60002183</t>
  </si>
  <si>
    <t>250-60002833</t>
  </si>
  <si>
    <t>250-60001683</t>
  </si>
  <si>
    <t>250-60001807</t>
  </si>
  <si>
    <t>250-60007641</t>
  </si>
  <si>
    <t>4 años</t>
  </si>
  <si>
    <t>2084-2019</t>
  </si>
  <si>
    <t>250-60006795</t>
  </si>
  <si>
    <t>311-2019</t>
  </si>
  <si>
    <t>250-60005536</t>
  </si>
  <si>
    <t>18-06-2018</t>
  </si>
  <si>
    <t>17-06-2024</t>
  </si>
  <si>
    <t>250-60005803</t>
  </si>
  <si>
    <t>250-60005885</t>
  </si>
  <si>
    <t>250-60004243</t>
  </si>
  <si>
    <t>250-60007650</t>
  </si>
  <si>
    <t>250-60006615</t>
  </si>
  <si>
    <t>164-2019</t>
  </si>
  <si>
    <t>250-60006125</t>
  </si>
  <si>
    <t>Bicsa</t>
  </si>
  <si>
    <t>Global Bank</t>
  </si>
  <si>
    <t>Bac</t>
  </si>
  <si>
    <t>Cuadro Nº5</t>
  </si>
  <si>
    <t>DEPÓSITOS A PLAZO FIJO</t>
  </si>
  <si>
    <t>RIESGO DE ENFERMEDAD Y MATERNIDAD</t>
  </si>
  <si>
    <t>TOTAL RIESGO DE ENFERMEDAD Y MATERNIDAD</t>
  </si>
  <si>
    <t>subs. Mat.e Inc./10000011326</t>
  </si>
  <si>
    <t>2 años</t>
  </si>
  <si>
    <t>1005-2019</t>
  </si>
  <si>
    <t>Cuadro Nº7</t>
  </si>
  <si>
    <t>DEPÓSITOS A PLAZO FIJO, RIESGO DE INVALIDEZ, VEJEZ Y MUERTE</t>
  </si>
  <si>
    <t xml:space="preserve"> POR COMPONENTE DEL SUSBISTEMA MIXTO DE PENSIONES</t>
  </si>
  <si>
    <t>IVM-SUBSISTEMA MIXTO</t>
  </si>
  <si>
    <t>NOTA DNF-DTES-N-58-2021</t>
  </si>
  <si>
    <t>SUBS. MIXTO/10000188130</t>
  </si>
  <si>
    <t>1 mes</t>
  </si>
  <si>
    <t>250-60001601</t>
  </si>
  <si>
    <t>Apertura dtes-67-2016</t>
  </si>
  <si>
    <t>250-60002192</t>
  </si>
  <si>
    <t>250-60002860</t>
  </si>
  <si>
    <t>250-60001692</t>
  </si>
  <si>
    <t>1825 días</t>
  </si>
  <si>
    <t>250-60001816</t>
  </si>
  <si>
    <t>250-60005894</t>
  </si>
  <si>
    <t>1372-2018</t>
  </si>
  <si>
    <t>250-60004252</t>
  </si>
  <si>
    <t>250-60006624</t>
  </si>
  <si>
    <t>250-60006250</t>
  </si>
  <si>
    <t>2133-2018</t>
  </si>
  <si>
    <t>250-60006367</t>
  </si>
  <si>
    <t>2239-2018</t>
  </si>
  <si>
    <t>250-60007678</t>
  </si>
  <si>
    <t>250-60008524</t>
  </si>
  <si>
    <t>250-60007687</t>
  </si>
  <si>
    <t>250-60008533</t>
  </si>
  <si>
    <t>250-60009300</t>
  </si>
  <si>
    <t>242-2022</t>
  </si>
  <si>
    <t>250-60009373</t>
  </si>
  <si>
    <t>250-60008828</t>
  </si>
  <si>
    <t>9 años</t>
  </si>
  <si>
    <t>120-2021</t>
  </si>
  <si>
    <t>250-60009319</t>
  </si>
  <si>
    <t>250-60009328</t>
  </si>
  <si>
    <t>2393-2017</t>
  </si>
  <si>
    <t>808-2017</t>
  </si>
  <si>
    <t>CENTRO DE PRÉSTAMOS</t>
  </si>
  <si>
    <t>21 días</t>
  </si>
  <si>
    <t>90 dias</t>
  </si>
  <si>
    <t>250-60005796</t>
  </si>
  <si>
    <t>1343-2018</t>
  </si>
  <si>
    <t>250-60001610</t>
  </si>
  <si>
    <t>250-60002209</t>
  </si>
  <si>
    <t>250-60002851</t>
  </si>
  <si>
    <t>250-60008490</t>
  </si>
  <si>
    <t>3 años</t>
  </si>
  <si>
    <t>250-60001825</t>
  </si>
  <si>
    <t>250-60005901</t>
  </si>
  <si>
    <t>1561-2018</t>
  </si>
  <si>
    <t>250-60004261</t>
  </si>
  <si>
    <t>250-60006633</t>
  </si>
  <si>
    <t>250-60006134</t>
  </si>
  <si>
    <t>250-60006269</t>
  </si>
  <si>
    <t>250-60007669</t>
  </si>
  <si>
    <t>250-60006376</t>
  </si>
  <si>
    <t>250-60008506</t>
  </si>
  <si>
    <t>250-60008622</t>
  </si>
  <si>
    <t>408-2020</t>
  </si>
  <si>
    <t>250-60008515</t>
  </si>
  <si>
    <t>250-60009382</t>
  </si>
  <si>
    <t>250-60008837</t>
  </si>
  <si>
    <t>10 años</t>
  </si>
  <si>
    <t>250-60009337</t>
  </si>
  <si>
    <t>Credicorp Bank</t>
  </si>
  <si>
    <t>CARLOS MIRANDA</t>
  </si>
  <si>
    <t>JULIO PEREZ</t>
  </si>
  <si>
    <t>Jefe Encargado de la Seccion de Analisis y Programacion Financiera</t>
  </si>
  <si>
    <t>Cuadro Nº2</t>
  </si>
  <si>
    <t xml:space="preserve"> GESTIÓN  ADMINISTRATIVA</t>
  </si>
  <si>
    <t>AL 30 DE JUNIO 2022</t>
  </si>
  <si>
    <t>TOTAL ADMINISTRACIÓN</t>
  </si>
  <si>
    <t>GESTION ADMINISTRATIVA</t>
  </si>
  <si>
    <t>Excedentes Praa</t>
  </si>
  <si>
    <t>CSS-Excedente-Admón. Fondos del Siacap</t>
  </si>
  <si>
    <t>CSS-Excedente-Admón. Fondos del PRAA</t>
  </si>
  <si>
    <t>CSS-Excedente-Admón. Fondos Plan Bahamas</t>
  </si>
  <si>
    <t>Reservas para Siniestros</t>
  </si>
  <si>
    <t>Reserva para Siniestros de Edificios</t>
  </si>
  <si>
    <t>91 Dias</t>
  </si>
  <si>
    <t>Reserva para Riesgos de Muerte e Incendio de la Cartera Hipotecaria</t>
  </si>
  <si>
    <t>Reserva para Riesgos de Comprensivo, Incendio y Robo de la Póliza de Automóvil</t>
  </si>
  <si>
    <t>Reserva para obra de arte</t>
  </si>
  <si>
    <t xml:space="preserve">FUENTE: DEPTO DE TESORERIA - DNF </t>
  </si>
  <si>
    <t>Preparado por:    _______________________________________</t>
  </si>
  <si>
    <t>Analista Financiero II</t>
  </si>
  <si>
    <t>Jefe Encargado de la Sección de Análisis y Programación Financiera</t>
  </si>
  <si>
    <t>Cuadro Nº4</t>
  </si>
  <si>
    <t>DEPÓSITOS A PLAZO FIJO DE GESTIÓN ADMINISTRATIVA</t>
  </si>
  <si>
    <t>SEGUROS COLECTIVOS DEL SUBSISTEMA MIXTO DE PENSIONES</t>
  </si>
  <si>
    <t>SEGUROS COLECTIVOS DEL SUBSISTEMA MIXTO DE PENSIONES:</t>
  </si>
  <si>
    <t>SEGURO DE RENTA VITALICIA</t>
  </si>
  <si>
    <t>cta. Renta vitalicia 10000125499</t>
  </si>
  <si>
    <t>30 dias</t>
  </si>
  <si>
    <t>250-60001629</t>
  </si>
  <si>
    <t>250-60002879</t>
  </si>
  <si>
    <t>250-60008472</t>
  </si>
  <si>
    <t>250-60005910</t>
  </si>
  <si>
    <t>250-60004270</t>
  </si>
  <si>
    <t>250-60006642</t>
  </si>
  <si>
    <t>250-60006143</t>
  </si>
  <si>
    <t>1847-2018</t>
  </si>
  <si>
    <t>250-60006278</t>
  </si>
  <si>
    <t>250-60006385</t>
  </si>
  <si>
    <t>SEGURO DE INVALIDEZ</t>
  </si>
  <si>
    <t>cta seg. X inv. 10000133051</t>
  </si>
  <si>
    <t>19-02-2018</t>
  </si>
  <si>
    <t>2393-2017/136-2018</t>
  </si>
  <si>
    <t>250-60001638</t>
  </si>
  <si>
    <t>250-60002888</t>
  </si>
  <si>
    <t>250-60008481</t>
  </si>
  <si>
    <t>250-60004289</t>
  </si>
  <si>
    <t>250-60006651</t>
  </si>
  <si>
    <t>250-60006152</t>
  </si>
  <si>
    <t>250-60006287</t>
  </si>
  <si>
    <t>250-60006394</t>
  </si>
  <si>
    <t>Revisado por:      ___________________________________</t>
  </si>
  <si>
    <t>Jefe de la Sección de Análisis y Programación Financiera</t>
  </si>
  <si>
    <t>AL 30 DE JUNIO DE 2022</t>
  </si>
  <si>
    <t xml:space="preserve">          LETRAS DELTESORO </t>
  </si>
  <si>
    <t>Fecha de actualización: Agosto 12, 2022</t>
  </si>
  <si>
    <t>Elaborado por: Lilia Psomas - Unidad Técnica Especializada de Inversiones CSS.</t>
  </si>
  <si>
    <t>AL 30 DE SEPTIEMBRE DE 2022</t>
  </si>
  <si>
    <t>27 días</t>
  </si>
  <si>
    <t xml:space="preserve">ciudad de la salud- en espera de dispersion </t>
  </si>
  <si>
    <t>90 días</t>
  </si>
  <si>
    <t>91 días</t>
  </si>
  <si>
    <t>250-60009499</t>
  </si>
  <si>
    <t>250-60009505</t>
  </si>
  <si>
    <t>250-60009523</t>
  </si>
  <si>
    <t>250-60009435</t>
  </si>
  <si>
    <t>3 días</t>
  </si>
  <si>
    <t xml:space="preserve">en espera de dispersion </t>
  </si>
  <si>
    <t>250-60009444</t>
  </si>
  <si>
    <t>250-60009453</t>
  </si>
  <si>
    <t>250-60009462</t>
  </si>
  <si>
    <t>Banistmo, S.A.</t>
  </si>
  <si>
    <t>BICSA, .S.A.</t>
  </si>
  <si>
    <t>Pensionados y Jubilados/10000098471</t>
  </si>
  <si>
    <t>C. de Prestamos Funcionarios/10000098471</t>
  </si>
  <si>
    <t>Centro de Prestamos/10000213107</t>
  </si>
  <si>
    <t>250-60009541</t>
  </si>
  <si>
    <t>Liz Mayta</t>
  </si>
  <si>
    <t>Julio Pérez</t>
  </si>
  <si>
    <t>ciudad de la salud</t>
  </si>
  <si>
    <t>60 días</t>
  </si>
  <si>
    <t>272 días</t>
  </si>
  <si>
    <t>1 día</t>
  </si>
  <si>
    <t>INCREMENTO DE 5,835.60</t>
  </si>
  <si>
    <t>250-60009532</t>
  </si>
  <si>
    <t>INCREMENTO DE 40.42</t>
  </si>
  <si>
    <t>Cta. Serv. Cont./10000081590</t>
  </si>
  <si>
    <t>DEPÓSITOS DE SERVICIOS DE CONTABILIDAD (CAPITAL E INTERES A LA CUENTA N°10000081590)</t>
  </si>
  <si>
    <t>CUADRO #11</t>
  </si>
  <si>
    <t>BONOS NEGOCIABLES Y NOTAS DEL TESORO, DEL RIESGO DE INVALIDEZ, VEJEZ  Y MUERTE - SUBSISTEMA EXCLUSIVAMENTE DE BENEFICIO DEFINIDO</t>
  </si>
  <si>
    <t xml:space="preserve">PERIODO     PACTADO    DEL                  AL </t>
  </si>
  <si>
    <t>CUADRO #12</t>
  </si>
  <si>
    <t xml:space="preserve">BONOS GLOBALES </t>
  </si>
  <si>
    <t>US698299BH68-04-01-2018</t>
  </si>
  <si>
    <t>US698299BH68-10-02-2018</t>
  </si>
  <si>
    <t>BONOS GLOBALES</t>
  </si>
  <si>
    <t>BONOS DEL TESORO Pma 2034</t>
  </si>
  <si>
    <t>PAL63444A5A0-01-07-2022</t>
  </si>
  <si>
    <t>PAL63444A5A0-02-07-2022</t>
  </si>
  <si>
    <t xml:space="preserve">NOTAS DEL TESORO </t>
  </si>
  <si>
    <t>LETRAS DEL TESORO</t>
  </si>
  <si>
    <t>NOTAS DEL TESORO</t>
  </si>
  <si>
    <t>PAL634445UZ6-01-04-2022</t>
  </si>
  <si>
    <t>PAL634445ZA8-01-05-2022</t>
  </si>
  <si>
    <t>PAL634445ZB6-01-06-2022</t>
  </si>
  <si>
    <t>PAL634445ZC4-01-07-2022</t>
  </si>
  <si>
    <t>PAL634445ZD2-01-08-2022</t>
  </si>
  <si>
    <t>BONOS CORP. ETESA 2032      PAL3602111C0 01-07-2022</t>
  </si>
  <si>
    <t>NOTAS CORPORATIVAS (CAF)</t>
  </si>
  <si>
    <t>NOTA TASA INCREMENTAL 2042     XS2536383545 01-09-2022</t>
  </si>
  <si>
    <t>US698299BG85 09-01-2022</t>
  </si>
  <si>
    <t>US698299BG85 09-02-2022</t>
  </si>
  <si>
    <t>US698299BH68 09-01-2022</t>
  </si>
  <si>
    <t>BNOS GLOBALES</t>
  </si>
  <si>
    <t>PAL634445UZ6-02-04-2022</t>
  </si>
  <si>
    <t>PAL634445ZA8-03-05-2022</t>
  </si>
  <si>
    <t>PAL634445ZB6-04-06-2022</t>
  </si>
  <si>
    <t>BNO DEL TESORO</t>
  </si>
  <si>
    <t xml:space="preserve">nota </t>
  </si>
  <si>
    <t>bonos globales</t>
  </si>
  <si>
    <t>bno del tesoro</t>
  </si>
  <si>
    <t>nota</t>
  </si>
  <si>
    <t xml:space="preserve"> AL 30 DE SEPTIEMBRE  2022</t>
  </si>
  <si>
    <t>compensacion economica 182,000.00</t>
  </si>
  <si>
    <t xml:space="preserve"> Julio Pérez</t>
  </si>
  <si>
    <t>Analista de Presupuesto</t>
  </si>
  <si>
    <t>rebajando esto</t>
  </si>
  <si>
    <t>colectivos</t>
  </si>
  <si>
    <t>gestion adm</t>
  </si>
  <si>
    <t>total gestion adm</t>
  </si>
  <si>
    <t>bnp</t>
  </si>
  <si>
    <t>junio</t>
  </si>
  <si>
    <t>sep</t>
  </si>
  <si>
    <t>okis</t>
  </si>
  <si>
    <t>vencimiento ivm 2022</t>
  </si>
  <si>
    <t>junio mixto</t>
  </si>
  <si>
    <t>nuevas de julio a sept</t>
  </si>
  <si>
    <t>excl</t>
  </si>
  <si>
    <t>sept mixto</t>
  </si>
  <si>
    <t xml:space="preserve">nuevas inv </t>
  </si>
  <si>
    <t>bono 2022</t>
  </si>
  <si>
    <t>ms</t>
  </si>
  <si>
    <t>Fecha: 25 de octubre de 2022</t>
  </si>
  <si>
    <t>tasa</t>
  </si>
  <si>
    <t>total</t>
  </si>
  <si>
    <t>prom,</t>
  </si>
  <si>
    <t>tasa anual para overnight</t>
  </si>
  <si>
    <t>para sept 2022</t>
  </si>
  <si>
    <t>ivm db</t>
  </si>
  <si>
    <t xml:space="preserve">cuadro con la diaria </t>
  </si>
  <si>
    <t>monto over</t>
  </si>
  <si>
    <t>intereses anuales</t>
  </si>
  <si>
    <t>DEPÓSITOS A PLAZO FIJO DE RIESGOS PROFESIONALES</t>
  </si>
  <si>
    <t>76 días</t>
  </si>
  <si>
    <t>1 año</t>
  </si>
  <si>
    <t>CPP 001- nota 0024-2023</t>
  </si>
  <si>
    <t>CPP 19- nota 004-2023</t>
  </si>
  <si>
    <t>22-03-2023</t>
  </si>
  <si>
    <t>250-60010156</t>
  </si>
  <si>
    <t>16/03/2023</t>
  </si>
  <si>
    <t>250-60009701</t>
  </si>
  <si>
    <t>RENOVACION</t>
  </si>
  <si>
    <t>250-60009667</t>
  </si>
  <si>
    <t>250-60009685</t>
  </si>
  <si>
    <t>250-60009989</t>
  </si>
  <si>
    <t>250-60010030</t>
  </si>
  <si>
    <t>250-60009854</t>
  </si>
  <si>
    <t>250-60009863</t>
  </si>
  <si>
    <t>250-60009916</t>
  </si>
  <si>
    <t>250-60009836</t>
  </si>
  <si>
    <t>250-60009827</t>
  </si>
  <si>
    <t>28-02-2024</t>
  </si>
  <si>
    <t>425 días</t>
  </si>
  <si>
    <t>250-60010183</t>
  </si>
  <si>
    <t>NOTA 0830-2022</t>
  </si>
  <si>
    <t>RENOVACIONES</t>
  </si>
  <si>
    <t>250-60009649</t>
  </si>
  <si>
    <t>31-03-2023</t>
  </si>
  <si>
    <t>3 dias</t>
  </si>
  <si>
    <t>29-03-2023</t>
  </si>
  <si>
    <t>28-04-2023</t>
  </si>
  <si>
    <t>379 dias</t>
  </si>
  <si>
    <t>Compensacion Economica</t>
  </si>
  <si>
    <t>250-60010218</t>
  </si>
  <si>
    <t>30-05-2023</t>
  </si>
  <si>
    <t>2 meses</t>
  </si>
  <si>
    <t>250-60010227</t>
  </si>
  <si>
    <t>27-06-2023</t>
  </si>
  <si>
    <t>250-60010236</t>
  </si>
  <si>
    <t>27-07-2023</t>
  </si>
  <si>
    <t>4 meses</t>
  </si>
  <si>
    <t>ciudad de la salud- en espera de la dispersion</t>
  </si>
  <si>
    <t>Ciudad de la Salud- Capital Mas intereses al vencimiento. Pendiente Numero de Certificado.</t>
  </si>
  <si>
    <t xml:space="preserve">Preparado por:  ___________________ </t>
  </si>
  <si>
    <t>RENOVACIONES VENCIDOS EN DIC 2022</t>
  </si>
  <si>
    <t>|</t>
  </si>
  <si>
    <t>88 días</t>
  </si>
  <si>
    <t>DEBIO SER HASTA 2024 Y NO 2023</t>
  </si>
  <si>
    <t>Cta. Gral./10000011513</t>
  </si>
  <si>
    <t>Analista Financiero</t>
  </si>
  <si>
    <t>Jefa del Departamento de Tesorería.</t>
  </si>
  <si>
    <t>NOTA 130-2023</t>
  </si>
  <si>
    <t>NOTA 800.2022</t>
  </si>
  <si>
    <t>NOTA 767-2022</t>
  </si>
  <si>
    <t>250-60010129</t>
  </si>
  <si>
    <t>250-60010076</t>
  </si>
  <si>
    <t>NOTA 800-2022</t>
  </si>
  <si>
    <t>250-60010110</t>
  </si>
  <si>
    <t>250-60010138</t>
  </si>
  <si>
    <t>Julio C. Pérez</t>
  </si>
  <si>
    <t>Cta/RV 10000125499</t>
  </si>
  <si>
    <t>250-60010165</t>
  </si>
  <si>
    <t>16-03-2023</t>
  </si>
  <si>
    <t>15-03-2030</t>
  </si>
  <si>
    <t>BANCO ALIADO</t>
  </si>
  <si>
    <t>Apertura</t>
  </si>
  <si>
    <t>BICSA</t>
  </si>
  <si>
    <t>Cta./SI./ 10000133051</t>
  </si>
  <si>
    <t>250-60010174</t>
  </si>
  <si>
    <t> 150000139087</t>
  </si>
  <si>
    <t>9 meses</t>
  </si>
  <si>
    <t>Excedentes de Fideicomisos / Banco Nacional de Panamá</t>
  </si>
  <si>
    <t>Reservas para Siniestros / Banco Nacional de Panamá</t>
  </si>
  <si>
    <t>Preparado Por:______________________________</t>
  </si>
  <si>
    <t>Revisado por:</t>
  </si>
  <si>
    <t>___________________________________</t>
  </si>
  <si>
    <t>Lic. Matilde Jordán V.</t>
  </si>
  <si>
    <t>Jefa del Departamento de Tesorería</t>
  </si>
  <si>
    <t>250-60010245</t>
  </si>
  <si>
    <t>250-60010254</t>
  </si>
  <si>
    <t xml:space="preserve">          BONOS CORPORATIVOS CREDICORP</t>
  </si>
  <si>
    <t xml:space="preserve">          BONOS CORPORATIVOS BLADEX, S.A.</t>
  </si>
  <si>
    <t xml:space="preserve">          BONOS CORPORATIVOS BICSA</t>
  </si>
  <si>
    <t>AL 31 DE DICIEMBRE DE 2023</t>
  </si>
  <si>
    <t>(en  Balboas)</t>
  </si>
  <si>
    <t>Preparado por: Lilia Psomas - Directora de Inversiones Financieras UTEI</t>
  </si>
  <si>
    <t>AL 31 DE JULIO DE 2024</t>
  </si>
  <si>
    <t>Saldo</t>
  </si>
  <si>
    <t>Rend</t>
  </si>
  <si>
    <t>Gestión Administrativa</t>
  </si>
  <si>
    <t>Seguro Colectivo de Renta Vitalicia</t>
  </si>
  <si>
    <t>Seguro Colectivo de Invalidez</t>
  </si>
  <si>
    <t>Ahorro Personal</t>
  </si>
  <si>
    <t>Beneficio Definido</t>
  </si>
  <si>
    <t>Plazo    (años)</t>
  </si>
  <si>
    <t>Saldo Total</t>
  </si>
  <si>
    <t>Rend Total</t>
  </si>
  <si>
    <t xml:space="preserve">   Banco Nacional de Panamá (BNP)</t>
  </si>
  <si>
    <t xml:space="preserve">   Caja de Ahorros (CA)</t>
  </si>
  <si>
    <t>2.  Valores del Estado</t>
  </si>
  <si>
    <t xml:space="preserve">    Letras del Tesoro</t>
  </si>
  <si>
    <t xml:space="preserve">    Bonos del Tesoro</t>
  </si>
  <si>
    <t xml:space="preserve">    Notas del Tesoro</t>
  </si>
  <si>
    <t xml:space="preserve">    Bonos Globales</t>
  </si>
  <si>
    <t xml:space="preserve">    Bonos Rotativos BNP</t>
  </si>
  <si>
    <t xml:space="preserve">    Bonos Rotativos CA</t>
  </si>
  <si>
    <t>3.  Depósitos Bancos Privados</t>
  </si>
  <si>
    <t>4.  Bonos Corporativos</t>
  </si>
  <si>
    <t xml:space="preserve">    Bonos Corporativos BICSA</t>
  </si>
  <si>
    <t>1/  Los activos financieros invertibles son aquellos que son fácilmente convertibles como los Títulos Valores (bonos, fondos mutuos); los Depósitos Overnight son líquidos por sí mismos y los Depósitos a Plazo Fijo no son invertibles.</t>
  </si>
  <si>
    <t xml:space="preserve">    Bonos ETESA</t>
  </si>
  <si>
    <t xml:space="preserve">    Bonos Corporativos BLADEX</t>
  </si>
  <si>
    <t xml:space="preserve">    Bonos Corporativos Credicorp</t>
  </si>
  <si>
    <t>5.  Títulos Valores Multilaterales</t>
  </si>
  <si>
    <t>Total Riesgo de Invalidez, Vejez                                                       y Muerte [IVM]</t>
  </si>
  <si>
    <t>- Todos los activos financieros que son Títulos Valores son sujetos de venta en mercado secundario de capitales, tanto local como internacional, según las condiciones de mercado y conveniencia financiera de dicha operación.</t>
  </si>
  <si>
    <t xml:space="preserve">1.  Depósitos Estatales a Plazo Fijo y 
     Depósitos  Overnight </t>
  </si>
  <si>
    <t>- El rendimiento total consolidado, los rendimientos totales por riesgo y subsistema,  y los rendimientos de los Depósitos Estatles, Valores del Estado y Bonos Corporativos  son calculados con promedio ponderado.</t>
  </si>
  <si>
    <t>- El plazo medido en años es calculado mediante promedio ponderado; es un plazo al vencimiento, es decir, tomando como fecha de corte el 31 de julio de 2024 hasta la fecha de vencimiento de cada activo financiero.</t>
  </si>
  <si>
    <t>- Para Depósitos tanto Estatales como Privados se refleja el saldo nominal, para Valores del Estado se muetra el valor negociado.</t>
  </si>
  <si>
    <t xml:space="preserve">SALDO, RENDIMIENTO Y PLAZO AL VENCIMIENTO DEL LISTADO DE ACTIVOS FINANCIEROS DE LA CAJA DE SEGURO SOCIAL, CLASIFICADO POR RIESGO Y/O SUBSISTEMA </t>
  </si>
  <si>
    <t xml:space="preserve">Tipo de Activos Financieros  1/ </t>
  </si>
  <si>
    <t>Elaborado por la Unidad Técnica Especializada de Inversiones [UTEI] - CSS</t>
  </si>
  <si>
    <t>Fecha: 16 de agosto 2024.</t>
  </si>
  <si>
    <t>Fuente:</t>
  </si>
  <si>
    <t>SALDO, RENDIMIENTO Y PLAZO AL VENCIMIENTO DEL LISTADO DE ACTIVOS FINANCIEROS DEL SUBSISTEMA EXCLUSIVAMENTE DE BENEFICIO DEFINIDO DEL RIESGO DE INVALIDEZ, VEJEZ Y MUERTE</t>
  </si>
  <si>
    <t>SALDO, RENDIMIENTO Y PLAZO AL VENCIMIENTO DEL LISTADO DE ACTIVOS FINANCIEROS DEL SUBSISTEMA MIXTO  DEL RIESGO DE INVALIDEZ, VEJEZ Y MUERTE</t>
  </si>
  <si>
    <t>SALDO, RENDIMIENTO Y PLAZO AL VENCIMIENTO DEL LISTADO DE ACTIVOS FINANCIEROS DE LOS SEGUROS COLECTIVOS DEL SUBSISTEMA MIXTO  DEL RIESGO DE INVALIDEZ, VEJEZ Y MUERTE</t>
  </si>
  <si>
    <t>SALDO, RENDIMIENTO Y PLAZO AL VENCIMIENTO DEL LISTADO DE ACTIVOS FINANCIEROS DE RIESGOS PROFESIONALES</t>
  </si>
  <si>
    <t>SALDO, RENDIMIENTO Y PLAZO AL VENCIMIENTO DEL LISTADO DE ACTIVOS FINANCIEROS DEL RIESGO DE ENFERMEDAD Y MATERNIDAD</t>
  </si>
  <si>
    <t>SALDO, RENDIMIENTO Y PLAZO AL VENCIMIENTO DEL LISTADO DE ACTIVOS FINANCIEROS DEL PROGRAMA DE GESTIÓN ADMINISTRATIVA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</si>
</sst>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3" formatCode="_-* #,##0.00_-;\-* #,##0.00_-;_-* &quot;-&quot;??_-;_-@_-"/>
    <numFmt numFmtId="164" formatCode="_-&quot;$&quot;* #,##0.00_-;\-&quot;$&quot;* #,##0.00_-;_-&quot;$&quot;* &quot;-&quot;??_-;_-@_-"/>
    <numFmt numFmtId="165" formatCode="dd/mm/yy;@"/>
    <numFmt numFmtId="166" formatCode="#,##0.000"/>
    <numFmt numFmtId="167" formatCode="#,##0.00000"/>
    <numFmt numFmtId="168" formatCode="dd\-mm\-yyyy"/>
    <numFmt numFmtId="169" formatCode="_(* #,##0.00_);_(* \(#,##0.00\);_(* &quot;-&quot;??_);_(@_)"/>
    <numFmt numFmtId="170" formatCode="0.000"/>
    <numFmt numFmtId="171" formatCode="0.000000000"/>
    <numFmt numFmtId="172" formatCode="0.000000"/>
    <numFmt numFmtId="173" formatCode="0.000%"/>
    <numFmt numFmtId="174" formatCode="0.00000"/>
    <numFmt numFmtId="175" formatCode="0.0000"/>
    <numFmt numFmtId="176" formatCode="dd/mm/yyyy;"/>
    <numFmt numFmtId="177" formatCode="&quot;$&quot;#,##0.00_);[Red]\(&quot;$&quot;#,##0.00\)"/>
    <numFmt numFmtId="178" formatCode="#,##0.000000"/>
    <numFmt numFmtId="179" formatCode="0.0000%"/>
    <numFmt numFmtId="180" formatCode="0.000000_)"/>
    <numFmt numFmtId="181" formatCode="0.000000%"/>
    <numFmt numFmtId="182" formatCode="#,##0_ ;\-#,##0\ "/>
    <numFmt numFmtId="183" formatCode="0.0%"/>
    <numFmt numFmtId="184" formatCode="#,##0.000000;\-#,##0.000000"/>
  </numFmts>
  <fonts count="9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2"/>
      <name val="Arial"/>
      <family val="2"/>
    </font>
    <font>
      <b/>
      <u/>
      <sz val="11"/>
      <name val="Arial"/>
      <family val="2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  <font>
      <sz val="12"/>
      <name val="Arial"/>
      <family val="2"/>
    </font>
    <font>
      <u/>
      <sz val="11"/>
      <name val="Arial"/>
      <family val="2"/>
    </font>
    <font>
      <b/>
      <sz val="12"/>
      <color theme="1"/>
      <name val="Arial"/>
      <family val="2"/>
    </font>
    <font>
      <sz val="11"/>
      <color indexed="9"/>
      <name val="Arial"/>
      <family val="2"/>
    </font>
    <font>
      <sz val="10.5"/>
      <name val="Arial"/>
      <family val="2"/>
    </font>
    <font>
      <b/>
      <sz val="10.5"/>
      <name val="Arial"/>
      <family val="2"/>
    </font>
    <font>
      <b/>
      <i/>
      <sz val="12"/>
      <name val="Arial"/>
      <family val="2"/>
    </font>
    <font>
      <b/>
      <sz val="11"/>
      <color indexed="9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2"/>
      <color indexed="9"/>
      <name val="Arial"/>
      <family val="2"/>
    </font>
    <font>
      <b/>
      <sz val="11.5"/>
      <name val="Arial"/>
      <family val="2"/>
    </font>
    <font>
      <u/>
      <sz val="12"/>
      <name val="Arial"/>
      <family val="2"/>
    </font>
    <font>
      <b/>
      <u/>
      <sz val="12"/>
      <color theme="1"/>
      <name val="Arial"/>
      <family val="2"/>
    </font>
    <font>
      <u/>
      <sz val="12"/>
      <color theme="1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b/>
      <sz val="12"/>
      <name val="Century Gothic"/>
      <family val="2"/>
    </font>
    <font>
      <sz val="10"/>
      <name val="Courier"/>
      <family val="3"/>
    </font>
    <font>
      <b/>
      <u val="double"/>
      <sz val="12"/>
      <name val="Arial"/>
      <family val="2"/>
    </font>
    <font>
      <b/>
      <sz val="12"/>
      <color rgb="FF0000FF"/>
      <name val="Times New Roman"/>
      <family val="1"/>
    </font>
    <font>
      <b/>
      <sz val="12"/>
      <color rgb="FFFF0000"/>
      <name val="Times New Roman"/>
      <family val="1"/>
    </font>
    <font>
      <b/>
      <sz val="12"/>
      <color rgb="FFFF0000"/>
      <name val="Century Gothic"/>
      <family val="2"/>
    </font>
    <font>
      <sz val="10"/>
      <color rgb="FF0000FF"/>
      <name val="Times New Roman"/>
      <family val="1"/>
    </font>
    <font>
      <b/>
      <sz val="12"/>
      <color rgb="FF0000FF"/>
      <name val="Century Gothic"/>
      <family val="2"/>
    </font>
    <font>
      <b/>
      <sz val="13"/>
      <color rgb="FF0000FF"/>
      <name val="Arial"/>
      <family val="2"/>
    </font>
    <font>
      <b/>
      <sz val="11"/>
      <name val="Calibri"/>
      <family val="2"/>
    </font>
    <font>
      <b/>
      <sz val="12"/>
      <color rgb="FF0000FF"/>
      <name val="Arial"/>
      <family val="2"/>
    </font>
    <font>
      <b/>
      <u val="double"/>
      <sz val="12"/>
      <color rgb="FF0000FF"/>
      <name val="Arial"/>
      <family val="2"/>
    </font>
    <font>
      <b/>
      <u/>
      <sz val="12"/>
      <name val="Century Gothic"/>
      <family val="2"/>
    </font>
    <font>
      <b/>
      <sz val="11"/>
      <name val="Times New Roman"/>
      <family val="1"/>
    </font>
    <font>
      <b/>
      <u/>
      <sz val="11"/>
      <name val="Times New Roman"/>
      <family val="1"/>
    </font>
    <font>
      <u val="double"/>
      <sz val="12"/>
      <name val="Arial"/>
      <family val="2"/>
    </font>
    <font>
      <sz val="12"/>
      <name val="Times New Roman"/>
      <family val="1"/>
    </font>
    <font>
      <sz val="12"/>
      <color rgb="FF0000FF"/>
      <name val="Arial"/>
      <family val="2"/>
    </font>
    <font>
      <sz val="10"/>
      <name val="MS Sans Serif"/>
      <family val="2"/>
    </font>
    <font>
      <b/>
      <sz val="12"/>
      <color theme="3" tint="-0.249977111117893"/>
      <name val="Arial"/>
      <family val="2"/>
    </font>
    <font>
      <sz val="12"/>
      <color rgb="FF00B0F0"/>
      <name val="Arial"/>
      <family val="2"/>
    </font>
    <font>
      <sz val="9"/>
      <name val="Arial"/>
      <family val="2"/>
    </font>
    <font>
      <sz val="12"/>
      <color rgb="FFFFFF00"/>
      <name val="Arial"/>
      <family val="2"/>
    </font>
    <font>
      <b/>
      <sz val="12"/>
      <color rgb="FF002060"/>
      <name val="Arial"/>
      <family val="2"/>
    </font>
    <font>
      <sz val="12"/>
      <color theme="3"/>
      <name val="Arial"/>
      <family val="2"/>
    </font>
    <font>
      <sz val="12"/>
      <color rgb="FF00206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2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2"/>
      <color rgb="FFFFFF00"/>
      <name val="Arial"/>
      <family val="2"/>
    </font>
    <font>
      <b/>
      <sz val="11"/>
      <color rgb="FFFFFF00"/>
      <name val="Arial"/>
      <family val="2"/>
    </font>
    <font>
      <sz val="12"/>
      <color rgb="FFFF0000"/>
      <name val="Arial"/>
      <family val="2"/>
    </font>
    <font>
      <sz val="11"/>
      <color rgb="FFFFFF00"/>
      <name val="Arial"/>
      <family val="2"/>
    </font>
    <font>
      <sz val="12"/>
      <name val="Century Gothic"/>
      <family val="2"/>
    </font>
    <font>
      <b/>
      <u val="double"/>
      <sz val="12"/>
      <color theme="4" tint="-0.499984740745262"/>
      <name val="Arial"/>
      <family val="2"/>
    </font>
    <font>
      <b/>
      <u val="double"/>
      <sz val="12"/>
      <color rgb="FFFF0000"/>
      <name val="Arial"/>
      <family val="2"/>
    </font>
    <font>
      <b/>
      <u/>
      <sz val="12"/>
      <color rgb="FFFF0000"/>
      <name val="Arial"/>
      <family val="2"/>
    </font>
    <font>
      <b/>
      <u/>
      <sz val="12"/>
      <color theme="4" tint="-0.499984740745262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2"/>
      <color rgb="FFFF0000"/>
      <name val="Arial"/>
      <family val="2"/>
    </font>
    <font>
      <sz val="12"/>
      <color rgb="FF030CBD"/>
      <name val="Arial"/>
      <family val="2"/>
    </font>
    <font>
      <b/>
      <sz val="10"/>
      <color rgb="FFFF0000"/>
      <name val="Arial"/>
      <family val="2"/>
    </font>
    <font>
      <sz val="12"/>
      <name val="Arial Narrow"/>
      <family val="2"/>
    </font>
    <font>
      <sz val="11"/>
      <name val="Arial Narrow"/>
      <family val="2"/>
    </font>
    <font>
      <b/>
      <sz val="11"/>
      <name val="Arial Narrow"/>
      <family val="2"/>
    </font>
    <font>
      <b/>
      <sz val="14"/>
      <name val="Arial Narrow"/>
      <family val="2"/>
    </font>
    <font>
      <b/>
      <sz val="12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rgb="FFFF0000"/>
      <name val="Arial Narrow"/>
      <family val="2"/>
    </font>
    <font>
      <b/>
      <u/>
      <sz val="12"/>
      <name val="Arial Narrow"/>
      <family val="2"/>
    </font>
    <font>
      <b/>
      <u/>
      <sz val="11"/>
      <name val="Arial Narrow"/>
      <family val="2"/>
    </font>
    <font>
      <u/>
      <sz val="11"/>
      <name val="Arial Narrow"/>
      <family val="2"/>
    </font>
    <font>
      <b/>
      <sz val="11.5"/>
      <name val="Arial Narrow"/>
      <family val="2"/>
    </font>
    <font>
      <sz val="11"/>
      <color theme="1"/>
      <name val="Arial Narrow"/>
      <family val="2"/>
    </font>
    <font>
      <b/>
      <u/>
      <sz val="11"/>
      <color theme="1"/>
      <name val="Arial Narrow"/>
      <family val="2"/>
    </font>
    <font>
      <sz val="13"/>
      <name val="Arial Narrow"/>
      <family val="2"/>
    </font>
  </fonts>
  <fills count="2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indexed="9"/>
        <bgColor indexed="41"/>
      </patternFill>
    </fill>
    <fill>
      <patternFill patternType="solid">
        <fgColor theme="4" tint="0.79998168889431442"/>
        <bgColor indexed="22"/>
      </patternFill>
    </fill>
    <fill>
      <patternFill patternType="solid">
        <fgColor theme="4" tint="0.79998168889431442"/>
        <bgColor indexed="41"/>
      </patternFill>
    </fill>
    <fill>
      <patternFill patternType="solid">
        <fgColor rgb="FFFFFF00"/>
        <bgColor indexed="4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8F4A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 tint="-0.249977111117893"/>
        <bgColor indexed="64"/>
      </patternFill>
    </fill>
  </fills>
  <borders count="4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29">
    <xf numFmtId="0" fontId="0" fillId="0" borderId="0"/>
    <xf numFmtId="9" fontId="29" fillId="0" borderId="0" applyFont="0" applyFill="0" applyBorder="0" applyAlignment="0" applyProtection="0"/>
    <xf numFmtId="37" fontId="33" fillId="0" borderId="0"/>
    <xf numFmtId="177" fontId="50" fillId="0" borderId="0" applyFont="0" applyFill="0" applyBorder="0" applyAlignment="0" applyProtection="0"/>
    <xf numFmtId="37" fontId="33" fillId="0" borderId="0"/>
    <xf numFmtId="43" fontId="29" fillId="0" borderId="0" applyFont="0" applyFill="0" applyBorder="0" applyAlignment="0" applyProtection="0"/>
    <xf numFmtId="0" fontId="4" fillId="0" borderId="0"/>
    <xf numFmtId="169" fontId="4" fillId="0" borderId="0" applyFont="0" applyFill="0" applyBorder="0" applyAlignment="0" applyProtection="0"/>
    <xf numFmtId="0" fontId="3" fillId="0" borderId="0"/>
    <xf numFmtId="169" fontId="3" fillId="0" borderId="0" applyFont="0" applyFill="0" applyBorder="0" applyAlignment="0" applyProtection="0"/>
    <xf numFmtId="0" fontId="2" fillId="0" borderId="0"/>
    <xf numFmtId="0" fontId="29" fillId="0" borderId="0"/>
    <xf numFmtId="9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73" fillId="0" borderId="0"/>
    <xf numFmtId="0" fontId="2" fillId="0" borderId="0"/>
    <xf numFmtId="169" fontId="2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169" fontId="1" fillId="0" borderId="0" applyFont="0" applyFill="0" applyBorder="0" applyAlignment="0" applyProtection="0"/>
    <xf numFmtId="0" fontId="1" fillId="0" borderId="0"/>
    <xf numFmtId="169" fontId="1" fillId="0" borderId="0" applyFont="0" applyFill="0" applyBorder="0" applyAlignment="0" applyProtection="0"/>
    <xf numFmtId="169" fontId="29" fillId="0" borderId="0" applyFont="0" applyFill="0" applyBorder="0" applyAlignment="0" applyProtection="0"/>
  </cellStyleXfs>
  <cellXfs count="1768">
    <xf numFmtId="0" fontId="0" fillId="0" borderId="0" xfId="0"/>
    <xf numFmtId="4" fontId="5" fillId="0" borderId="0" xfId="0" applyNumberFormat="1" applyFont="1" applyAlignment="1">
      <alignment horizontal="right"/>
    </xf>
    <xf numFmtId="4" fontId="5" fillId="4" borderId="0" xfId="0" applyNumberFormat="1" applyFont="1" applyFill="1" applyAlignment="1">
      <alignment horizontal="right"/>
    </xf>
    <xf numFmtId="4" fontId="0" fillId="0" borderId="0" xfId="0" applyNumberFormat="1"/>
    <xf numFmtId="4" fontId="7" fillId="0" borderId="0" xfId="0" applyNumberFormat="1" applyFont="1" applyAlignment="1">
      <alignment horizontal="center"/>
    </xf>
    <xf numFmtId="4" fontId="0" fillId="0" borderId="0" xfId="0" applyNumberFormat="1" applyAlignment="1">
      <alignment horizontal="center" vertical="center" wrapText="1"/>
    </xf>
    <xf numFmtId="4" fontId="5" fillId="0" borderId="0" xfId="0" applyNumberFormat="1" applyFont="1" applyAlignment="1">
      <alignment vertical="center"/>
    </xf>
    <xf numFmtId="4" fontId="0" fillId="3" borderId="0" xfId="0" applyNumberFormat="1" applyFill="1" applyAlignment="1">
      <alignment horizontal="center" vertical="center" wrapText="1"/>
    </xf>
    <xf numFmtId="4" fontId="7" fillId="3" borderId="0" xfId="0" applyNumberFormat="1" applyFont="1" applyFill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/>
    </xf>
    <xf numFmtId="4" fontId="5" fillId="3" borderId="5" xfId="0" applyNumberFormat="1" applyFont="1" applyFill="1" applyBorder="1" applyAlignment="1">
      <alignment vertical="center"/>
    </xf>
    <xf numFmtId="4" fontId="5" fillId="3" borderId="1" xfId="0" applyNumberFormat="1" applyFont="1" applyFill="1" applyBorder="1" applyAlignment="1">
      <alignment vertical="center"/>
    </xf>
    <xf numFmtId="4" fontId="7" fillId="0" borderId="0" xfId="0" applyNumberFormat="1" applyFont="1"/>
    <xf numFmtId="4" fontId="5" fillId="0" borderId="1" xfId="0" applyNumberFormat="1" applyFont="1" applyBorder="1" applyAlignment="1">
      <alignment vertical="center"/>
    </xf>
    <xf numFmtId="4" fontId="0" fillId="2" borderId="0" xfId="0" applyNumberFormat="1" applyFill="1" applyAlignment="1">
      <alignment horizontal="center" vertical="center" wrapText="1"/>
    </xf>
    <xf numFmtId="4" fontId="7" fillId="2" borderId="0" xfId="0" applyNumberFormat="1" applyFont="1" applyFill="1" applyAlignment="1">
      <alignment horizontal="center" vertical="center" wrapText="1"/>
    </xf>
    <xf numFmtId="4" fontId="10" fillId="2" borderId="0" xfId="0" applyNumberFormat="1" applyFont="1" applyFill="1" applyAlignment="1">
      <alignment vertical="center"/>
    </xf>
    <xf numFmtId="4" fontId="8" fillId="0" borderId="0" xfId="0" applyNumberFormat="1" applyFont="1"/>
    <xf numFmtId="4" fontId="9" fillId="2" borderId="9" xfId="0" applyNumberFormat="1" applyFont="1" applyFill="1" applyBorder="1"/>
    <xf numFmtId="4" fontId="9" fillId="3" borderId="9" xfId="0" applyNumberFormat="1" applyFont="1" applyFill="1" applyBorder="1"/>
    <xf numFmtId="4" fontId="8" fillId="3" borderId="9" xfId="0" applyNumberFormat="1" applyFont="1" applyFill="1" applyBorder="1"/>
    <xf numFmtId="4" fontId="8" fillId="2" borderId="9" xfId="0" applyNumberFormat="1" applyFont="1" applyFill="1" applyBorder="1"/>
    <xf numFmtId="4" fontId="8" fillId="0" borderId="8" xfId="0" applyNumberFormat="1" applyFont="1" applyBorder="1"/>
    <xf numFmtId="4" fontId="0" fillId="3" borderId="0" xfId="0" applyNumberFormat="1" applyFill="1"/>
    <xf numFmtId="4" fontId="18" fillId="3" borderId="0" xfId="0" applyNumberFormat="1" applyFont="1" applyFill="1"/>
    <xf numFmtId="4" fontId="18" fillId="0" borderId="0" xfId="0" applyNumberFormat="1" applyFont="1"/>
    <xf numFmtId="49" fontId="0" fillId="0" borderId="0" xfId="0" applyNumberFormat="1"/>
    <xf numFmtId="49" fontId="0" fillId="4" borderId="0" xfId="0" applyNumberFormat="1" applyFill="1"/>
    <xf numFmtId="4" fontId="7" fillId="0" borderId="0" xfId="0" applyNumberFormat="1" applyFont="1" applyAlignment="1">
      <alignment horizontal="left"/>
    </xf>
    <xf numFmtId="4" fontId="0" fillId="4" borderId="0" xfId="0" applyNumberFormat="1" applyFill="1"/>
    <xf numFmtId="4" fontId="0" fillId="0" borderId="0" xfId="0" applyNumberFormat="1" applyAlignment="1">
      <alignment vertical="center"/>
    </xf>
    <xf numFmtId="4" fontId="7" fillId="0" borderId="0" xfId="0" applyNumberFormat="1" applyFont="1" applyAlignment="1">
      <alignment vertical="center"/>
    </xf>
    <xf numFmtId="4" fontId="0" fillId="4" borderId="0" xfId="0" applyNumberFormat="1" applyFill="1" applyAlignment="1">
      <alignment vertical="center"/>
    </xf>
    <xf numFmtId="4" fontId="20" fillId="0" borderId="0" xfId="0" applyNumberFormat="1" applyFont="1" applyAlignment="1">
      <alignment horizontal="left"/>
    </xf>
    <xf numFmtId="4" fontId="7" fillId="4" borderId="0" xfId="0" applyNumberFormat="1" applyFont="1" applyFill="1" applyAlignment="1">
      <alignment horizontal="center"/>
    </xf>
    <xf numFmtId="4" fontId="7" fillId="4" borderId="0" xfId="0" applyNumberFormat="1" applyFont="1" applyFill="1"/>
    <xf numFmtId="4" fontId="18" fillId="6" borderId="8" xfId="0" applyNumberFormat="1" applyFont="1" applyFill="1" applyBorder="1"/>
    <xf numFmtId="4" fontId="19" fillId="5" borderId="2" xfId="0" applyNumberFormat="1" applyFont="1" applyFill="1" applyBorder="1" applyAlignment="1">
      <alignment vertical="center" wrapText="1"/>
    </xf>
    <xf numFmtId="4" fontId="0" fillId="4" borderId="0" xfId="0" applyNumberFormat="1" applyFill="1" applyAlignment="1">
      <alignment horizontal="center" vertical="center" wrapText="1"/>
    </xf>
    <xf numFmtId="4" fontId="7" fillId="4" borderId="0" xfId="0" applyNumberFormat="1" applyFont="1" applyFill="1" applyAlignment="1">
      <alignment horizontal="center" vertical="center" wrapText="1"/>
    </xf>
    <xf numFmtId="4" fontId="8" fillId="4" borderId="1" xfId="0" applyNumberFormat="1" applyFont="1" applyFill="1" applyBorder="1" applyAlignment="1">
      <alignment vertical="center"/>
    </xf>
    <xf numFmtId="4" fontId="8" fillId="4" borderId="5" xfId="0" applyNumberFormat="1" applyFont="1" applyFill="1" applyBorder="1" applyAlignment="1">
      <alignment vertical="center"/>
    </xf>
    <xf numFmtId="4" fontId="8" fillId="3" borderId="1" xfId="0" applyNumberFormat="1" applyFont="1" applyFill="1" applyBorder="1" applyAlignment="1">
      <alignment horizontal="center" vertical="center"/>
    </xf>
    <xf numFmtId="4" fontId="8" fillId="4" borderId="5" xfId="0" applyNumberFormat="1" applyFont="1" applyFill="1" applyBorder="1" applyAlignment="1">
      <alignment horizontal="center" vertical="center"/>
    </xf>
    <xf numFmtId="4" fontId="12" fillId="3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8" fillId="3" borderId="2" xfId="0" applyNumberFormat="1" applyFont="1" applyFill="1" applyBorder="1" applyAlignment="1">
      <alignment horizontal="center" vertical="center"/>
    </xf>
    <xf numFmtId="4" fontId="8" fillId="3" borderId="14" xfId="0" applyNumberFormat="1" applyFont="1" applyFill="1" applyBorder="1" applyAlignment="1">
      <alignment horizontal="center" vertical="center"/>
    </xf>
    <xf numFmtId="4" fontId="8" fillId="3" borderId="15" xfId="0" applyNumberFormat="1" applyFont="1" applyFill="1" applyBorder="1" applyAlignment="1">
      <alignment horizontal="center" vertical="center"/>
    </xf>
    <xf numFmtId="166" fontId="8" fillId="4" borderId="0" xfId="0" applyNumberFormat="1" applyFont="1" applyFill="1"/>
    <xf numFmtId="4" fontId="9" fillId="0" borderId="0" xfId="0" applyNumberFormat="1" applyFont="1"/>
    <xf numFmtId="4" fontId="9" fillId="0" borderId="0" xfId="0" applyNumberFormat="1" applyFont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8" fillId="2" borderId="0" xfId="0" applyNumberFormat="1" applyFont="1" applyFill="1" applyAlignment="1">
      <alignment horizontal="center" vertical="center" wrapText="1"/>
    </xf>
    <xf numFmtId="4" fontId="8" fillId="3" borderId="0" xfId="0" applyNumberFormat="1" applyFont="1" applyFill="1" applyAlignment="1">
      <alignment horizontal="center" vertical="center" wrapText="1"/>
    </xf>
    <xf numFmtId="4" fontId="9" fillId="4" borderId="0" xfId="0" applyNumberFormat="1" applyFont="1" applyFill="1" applyAlignment="1">
      <alignment horizontal="center" vertical="center" wrapText="1"/>
    </xf>
    <xf numFmtId="4" fontId="8" fillId="0" borderId="7" xfId="0" applyNumberFormat="1" applyFont="1" applyBorder="1"/>
    <xf numFmtId="4" fontId="11" fillId="0" borderId="0" xfId="0" applyNumberFormat="1" applyFont="1"/>
    <xf numFmtId="4" fontId="11" fillId="0" borderId="3" xfId="0" applyNumberFormat="1" applyFont="1" applyBorder="1"/>
    <xf numFmtId="4" fontId="8" fillId="2" borderId="7" xfId="0" applyNumberFormat="1" applyFont="1" applyFill="1" applyBorder="1" applyAlignment="1">
      <alignment horizontal="center"/>
    </xf>
    <xf numFmtId="4" fontId="11" fillId="0" borderId="7" xfId="0" applyNumberFormat="1" applyFont="1" applyBorder="1" applyAlignment="1">
      <alignment horizontal="center"/>
    </xf>
    <xf numFmtId="4" fontId="11" fillId="2" borderId="7" xfId="0" applyNumberFormat="1" applyFont="1" applyFill="1" applyBorder="1"/>
    <xf numFmtId="4" fontId="11" fillId="3" borderId="7" xfId="0" applyNumberFormat="1" applyFont="1" applyFill="1" applyBorder="1"/>
    <xf numFmtId="4" fontId="8" fillId="3" borderId="7" xfId="0" applyNumberFormat="1" applyFont="1" applyFill="1" applyBorder="1" applyAlignment="1">
      <alignment horizontal="center"/>
    </xf>
    <xf numFmtId="4" fontId="8" fillId="2" borderId="16" xfId="0" applyNumberFormat="1" applyFont="1" applyFill="1" applyBorder="1" applyAlignment="1">
      <alignment horizontal="center"/>
    </xf>
    <xf numFmtId="4" fontId="8" fillId="3" borderId="16" xfId="0" applyNumberFormat="1" applyFont="1" applyFill="1" applyBorder="1" applyAlignment="1">
      <alignment horizontal="center"/>
    </xf>
    <xf numFmtId="4" fontId="8" fillId="4" borderId="0" xfId="0" applyNumberFormat="1" applyFont="1" applyFill="1"/>
    <xf numFmtId="4" fontId="9" fillId="0" borderId="9" xfId="0" applyNumberFormat="1" applyFont="1" applyBorder="1"/>
    <xf numFmtId="4" fontId="9" fillId="0" borderId="17" xfId="0" applyNumberFormat="1" applyFont="1" applyBorder="1"/>
    <xf numFmtId="4" fontId="9" fillId="2" borderId="9" xfId="0" applyNumberFormat="1" applyFont="1" applyFill="1" applyBorder="1" applyAlignment="1">
      <alignment horizontal="center"/>
    </xf>
    <xf numFmtId="4" fontId="11" fillId="0" borderId="9" xfId="0" applyNumberFormat="1" applyFont="1" applyBorder="1" applyAlignment="1">
      <alignment horizontal="center"/>
    </xf>
    <xf numFmtId="4" fontId="9" fillId="3" borderId="9" xfId="0" applyNumberFormat="1" applyFont="1" applyFill="1" applyBorder="1" applyAlignment="1">
      <alignment horizontal="center"/>
    </xf>
    <xf numFmtId="4" fontId="9" fillId="2" borderId="18" xfId="0" applyNumberFormat="1" applyFont="1" applyFill="1" applyBorder="1"/>
    <xf numFmtId="4" fontId="9" fillId="3" borderId="18" xfId="0" applyNumberFormat="1" applyFont="1" applyFill="1" applyBorder="1" applyAlignment="1">
      <alignment horizontal="center"/>
    </xf>
    <xf numFmtId="4" fontId="9" fillId="2" borderId="17" xfId="0" applyNumberFormat="1" applyFont="1" applyFill="1" applyBorder="1"/>
    <xf numFmtId="4" fontId="8" fillId="0" borderId="19" xfId="0" applyNumberFormat="1" applyFont="1" applyBorder="1"/>
    <xf numFmtId="4" fontId="8" fillId="0" borderId="9" xfId="0" applyNumberFormat="1" applyFont="1" applyBorder="1" applyAlignment="1">
      <alignment horizontal="center"/>
    </xf>
    <xf numFmtId="4" fontId="8" fillId="3" borderId="9" xfId="0" applyNumberFormat="1" applyFont="1" applyFill="1" applyBorder="1" applyAlignment="1">
      <alignment horizontal="center"/>
    </xf>
    <xf numFmtId="4" fontId="8" fillId="2" borderId="18" xfId="0" applyNumberFormat="1" applyFont="1" applyFill="1" applyBorder="1"/>
    <xf numFmtId="4" fontId="8" fillId="2" borderId="9" xfId="0" applyNumberFormat="1" applyFont="1" applyFill="1" applyBorder="1" applyAlignment="1">
      <alignment horizontal="center"/>
    </xf>
    <xf numFmtId="4" fontId="8" fillId="3" borderId="18" xfId="0" applyNumberFormat="1" applyFont="1" applyFill="1" applyBorder="1" applyAlignment="1">
      <alignment horizontal="center"/>
    </xf>
    <xf numFmtId="4" fontId="8" fillId="2" borderId="17" xfId="0" applyNumberFormat="1" applyFont="1" applyFill="1" applyBorder="1"/>
    <xf numFmtId="4" fontId="8" fillId="0" borderId="17" xfId="0" applyNumberFormat="1" applyFont="1" applyBorder="1"/>
    <xf numFmtId="4" fontId="9" fillId="0" borderId="9" xfId="0" applyNumberFormat="1" applyFont="1" applyBorder="1" applyAlignment="1">
      <alignment horizontal="center"/>
    </xf>
    <xf numFmtId="4" fontId="8" fillId="0" borderId="9" xfId="0" applyNumberFormat="1" applyFont="1" applyBorder="1"/>
    <xf numFmtId="4" fontId="8" fillId="4" borderId="9" xfId="0" applyNumberFormat="1" applyFont="1" applyFill="1" applyBorder="1"/>
    <xf numFmtId="4" fontId="9" fillId="4" borderId="0" xfId="0" applyNumberFormat="1" applyFont="1" applyFill="1"/>
    <xf numFmtId="4" fontId="11" fillId="0" borderId="17" xfId="0" applyNumberFormat="1" applyFont="1" applyBorder="1"/>
    <xf numFmtId="4" fontId="11" fillId="0" borderId="9" xfId="0" applyNumberFormat="1" applyFont="1" applyBorder="1"/>
    <xf numFmtId="4" fontId="11" fillId="4" borderId="9" xfId="0" applyNumberFormat="1" applyFont="1" applyFill="1" applyBorder="1"/>
    <xf numFmtId="4" fontId="11" fillId="0" borderId="18" xfId="0" applyNumberFormat="1" applyFont="1" applyBorder="1"/>
    <xf numFmtId="4" fontId="11" fillId="3" borderId="18" xfId="0" applyNumberFormat="1" applyFont="1" applyFill="1" applyBorder="1"/>
    <xf numFmtId="4" fontId="8" fillId="3" borderId="0" xfId="0" applyNumberFormat="1" applyFont="1" applyFill="1" applyAlignment="1">
      <alignment horizontal="center"/>
    </xf>
    <xf numFmtId="4" fontId="11" fillId="0" borderId="20" xfId="0" applyNumberFormat="1" applyFont="1" applyBorder="1"/>
    <xf numFmtId="4" fontId="11" fillId="3" borderId="9" xfId="0" applyNumberFormat="1" applyFont="1" applyFill="1" applyBorder="1"/>
    <xf numFmtId="4" fontId="8" fillId="0" borderId="18" xfId="0" applyNumberFormat="1" applyFont="1" applyBorder="1" applyAlignment="1">
      <alignment horizontal="center"/>
    </xf>
    <xf numFmtId="4" fontId="15" fillId="0" borderId="0" xfId="0" applyNumberFormat="1" applyFont="1"/>
    <xf numFmtId="4" fontId="15" fillId="0" borderId="9" xfId="0" applyNumberFormat="1" applyFont="1" applyBorder="1" applyAlignment="1">
      <alignment horizontal="center"/>
    </xf>
    <xf numFmtId="4" fontId="9" fillId="0" borderId="18" xfId="0" applyNumberFormat="1" applyFont="1" applyBorder="1"/>
    <xf numFmtId="4" fontId="9" fillId="3" borderId="20" xfId="0" applyNumberFormat="1" applyFont="1" applyFill="1" applyBorder="1"/>
    <xf numFmtId="4" fontId="9" fillId="4" borderId="9" xfId="0" applyNumberFormat="1" applyFont="1" applyFill="1" applyBorder="1" applyAlignment="1">
      <alignment horizontal="center"/>
    </xf>
    <xf numFmtId="166" fontId="9" fillId="0" borderId="9" xfId="0" applyNumberFormat="1" applyFont="1" applyBorder="1" applyAlignment="1">
      <alignment horizontal="center"/>
    </xf>
    <xf numFmtId="4" fontId="8" fillId="0" borderId="18" xfId="0" applyNumberFormat="1" applyFont="1" applyBorder="1"/>
    <xf numFmtId="4" fontId="21" fillId="0" borderId="9" xfId="0" applyNumberFormat="1" applyFont="1" applyBorder="1" applyAlignment="1">
      <alignment horizontal="center"/>
    </xf>
    <xf numFmtId="166" fontId="8" fillId="0" borderId="9" xfId="0" applyNumberFormat="1" applyFont="1" applyBorder="1" applyAlignment="1">
      <alignment horizontal="center"/>
    </xf>
    <xf numFmtId="4" fontId="9" fillId="0" borderId="11" xfId="0" applyNumberFormat="1" applyFont="1" applyBorder="1"/>
    <xf numFmtId="4" fontId="8" fillId="0" borderId="21" xfId="0" applyNumberFormat="1" applyFont="1" applyBorder="1"/>
    <xf numFmtId="4" fontId="8" fillId="0" borderId="11" xfId="0" applyNumberFormat="1" applyFont="1" applyBorder="1" applyAlignment="1">
      <alignment horizontal="center"/>
    </xf>
    <xf numFmtId="4" fontId="9" fillId="0" borderId="11" xfId="0" applyNumberFormat="1" applyFont="1" applyBorder="1" applyAlignment="1">
      <alignment horizontal="center"/>
    </xf>
    <xf numFmtId="4" fontId="8" fillId="0" borderId="11" xfId="0" applyNumberFormat="1" applyFont="1" applyBorder="1"/>
    <xf numFmtId="4" fontId="8" fillId="4" borderId="11" xfId="0" applyNumberFormat="1" applyFont="1" applyFill="1" applyBorder="1"/>
    <xf numFmtId="4" fontId="8" fillId="4" borderId="11" xfId="0" applyNumberFormat="1" applyFont="1" applyFill="1" applyBorder="1" applyAlignment="1">
      <alignment horizontal="center"/>
    </xf>
    <xf numFmtId="4" fontId="8" fillId="0" borderId="22" xfId="0" applyNumberFormat="1" applyFont="1" applyBorder="1"/>
    <xf numFmtId="4" fontId="8" fillId="3" borderId="11" xfId="0" applyNumberFormat="1" applyFont="1" applyFill="1" applyBorder="1"/>
    <xf numFmtId="4" fontId="8" fillId="3" borderId="22" xfId="0" applyNumberFormat="1" applyFont="1" applyFill="1" applyBorder="1" applyAlignment="1">
      <alignment horizontal="center"/>
    </xf>
    <xf numFmtId="4" fontId="8" fillId="3" borderId="11" xfId="0" applyNumberFormat="1" applyFont="1" applyFill="1" applyBorder="1" applyAlignment="1">
      <alignment horizontal="center"/>
    </xf>
    <xf numFmtId="4" fontId="19" fillId="0" borderId="0" xfId="0" applyNumberFormat="1" applyFont="1"/>
    <xf numFmtId="4" fontId="18" fillId="4" borderId="0" xfId="0" applyNumberFormat="1" applyFont="1" applyFill="1"/>
    <xf numFmtId="166" fontId="8" fillId="4" borderId="0" xfId="0" applyNumberFormat="1" applyFont="1" applyFill="1" applyAlignment="1">
      <alignment horizontal="center" vertical="center"/>
    </xf>
    <xf numFmtId="49" fontId="7" fillId="0" borderId="0" xfId="0" applyNumberFormat="1" applyFont="1"/>
    <xf numFmtId="4" fontId="9" fillId="0" borderId="0" xfId="0" applyNumberFormat="1" applyFont="1" applyAlignment="1">
      <alignment horizontal="center"/>
    </xf>
    <xf numFmtId="4" fontId="8" fillId="0" borderId="0" xfId="0" applyNumberFormat="1" applyFont="1" applyAlignment="1">
      <alignment horizontal="center"/>
    </xf>
    <xf numFmtId="4" fontId="8" fillId="4" borderId="0" xfId="0" applyNumberFormat="1" applyFont="1" applyFill="1" applyAlignment="1">
      <alignment horizontal="center" vertical="center"/>
    </xf>
    <xf numFmtId="49" fontId="7" fillId="0" borderId="0" xfId="0" applyNumberFormat="1" applyFont="1" applyAlignment="1">
      <alignment horizontal="left"/>
    </xf>
    <xf numFmtId="49" fontId="7" fillId="4" borderId="0" xfId="0" applyNumberFormat="1" applyFont="1" applyFill="1"/>
    <xf numFmtId="167" fontId="9" fillId="0" borderId="0" xfId="0" applyNumberFormat="1" applyFont="1" applyAlignment="1">
      <alignment horizontal="center"/>
    </xf>
    <xf numFmtId="165" fontId="7" fillId="0" borderId="0" xfId="0" applyNumberFormat="1" applyFont="1" applyAlignment="1">
      <alignment horizontal="left"/>
    </xf>
    <xf numFmtId="4" fontId="8" fillId="4" borderId="1" xfId="0" applyNumberFormat="1" applyFont="1" applyFill="1" applyBorder="1" applyAlignment="1">
      <alignment horizontal="center" vertical="center"/>
    </xf>
    <xf numFmtId="4" fontId="8" fillId="7" borderId="9" xfId="0" applyNumberFormat="1" applyFont="1" applyFill="1" applyBorder="1"/>
    <xf numFmtId="4" fontId="8" fillId="7" borderId="9" xfId="0" applyNumberFormat="1" applyFont="1" applyFill="1" applyBorder="1" applyAlignment="1">
      <alignment horizontal="center"/>
    </xf>
    <xf numFmtId="2" fontId="8" fillId="3" borderId="9" xfId="0" applyNumberFormat="1" applyFont="1" applyFill="1" applyBorder="1" applyAlignment="1">
      <alignment horizontal="center"/>
    </xf>
    <xf numFmtId="4" fontId="7" fillId="7" borderId="0" xfId="0" applyNumberFormat="1" applyFont="1" applyFill="1" applyAlignment="1">
      <alignment horizontal="center"/>
    </xf>
    <xf numFmtId="4" fontId="0" fillId="7" borderId="0" xfId="0" applyNumberFormat="1" applyFill="1"/>
    <xf numFmtId="4" fontId="0" fillId="4" borderId="0" xfId="0" applyNumberFormat="1" applyFill="1" applyAlignment="1">
      <alignment horizontal="center"/>
    </xf>
    <xf numFmtId="4" fontId="7" fillId="7" borderId="0" xfId="0" applyNumberFormat="1" applyFont="1" applyFill="1"/>
    <xf numFmtId="4" fontId="10" fillId="0" borderId="7" xfId="0" applyNumberFormat="1" applyFont="1" applyBorder="1" applyAlignment="1">
      <alignment vertical="center"/>
    </xf>
    <xf numFmtId="4" fontId="8" fillId="0" borderId="5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horizontal="right" vertical="center"/>
    </xf>
    <xf numFmtId="4" fontId="5" fillId="4" borderId="0" xfId="0" applyNumberFormat="1" applyFont="1" applyFill="1" applyAlignment="1">
      <alignment horizontal="right" vertical="center"/>
    </xf>
    <xf numFmtId="4" fontId="7" fillId="0" borderId="0" xfId="0" applyNumberFormat="1" applyFont="1" applyAlignment="1">
      <alignment horizontal="center" vertical="center"/>
    </xf>
    <xf numFmtId="4" fontId="9" fillId="2" borderId="8" xfId="0" applyNumberFormat="1" applyFont="1" applyFill="1" applyBorder="1" applyAlignment="1">
      <alignment vertical="center"/>
    </xf>
    <xf numFmtId="4" fontId="8" fillId="0" borderId="0" xfId="0" applyNumberFormat="1" applyFont="1" applyAlignment="1">
      <alignment vertical="center"/>
    </xf>
    <xf numFmtId="4" fontId="5" fillId="2" borderId="9" xfId="0" applyNumberFormat="1" applyFont="1" applyFill="1" applyBorder="1" applyAlignment="1">
      <alignment vertical="center"/>
    </xf>
    <xf numFmtId="4" fontId="8" fillId="2" borderId="8" xfId="0" applyNumberFormat="1" applyFont="1" applyFill="1" applyBorder="1" applyAlignment="1">
      <alignment vertical="center"/>
    </xf>
    <xf numFmtId="4" fontId="9" fillId="3" borderId="9" xfId="0" applyNumberFormat="1" applyFont="1" applyFill="1" applyBorder="1" applyAlignment="1">
      <alignment vertical="center"/>
    </xf>
    <xf numFmtId="4" fontId="5" fillId="3" borderId="9" xfId="0" applyNumberFormat="1" applyFont="1" applyFill="1" applyBorder="1" applyAlignment="1">
      <alignment vertical="center"/>
    </xf>
    <xf numFmtId="4" fontId="5" fillId="2" borderId="0" xfId="0" applyNumberFormat="1" applyFont="1" applyFill="1" applyAlignment="1">
      <alignment vertical="center"/>
    </xf>
    <xf numFmtId="4" fontId="9" fillId="2" borderId="0" xfId="0" applyNumberFormat="1" applyFont="1" applyFill="1" applyAlignment="1">
      <alignment vertical="center"/>
    </xf>
    <xf numFmtId="4" fontId="5" fillId="2" borderId="11" xfId="0" applyNumberFormat="1" applyFont="1" applyFill="1" applyBorder="1" applyAlignment="1">
      <alignment vertical="center"/>
    </xf>
    <xf numFmtId="4" fontId="5" fillId="3" borderId="11" xfId="0" applyNumberFormat="1" applyFont="1" applyFill="1" applyBorder="1" applyAlignment="1">
      <alignment vertical="center"/>
    </xf>
    <xf numFmtId="4" fontId="0" fillId="2" borderId="0" xfId="0" applyNumberFormat="1" applyFill="1" applyAlignment="1">
      <alignment vertical="center"/>
    </xf>
    <xf numFmtId="4" fontId="0" fillId="3" borderId="0" xfId="0" applyNumberFormat="1" applyFill="1" applyAlignment="1">
      <alignment vertical="center"/>
    </xf>
    <xf numFmtId="4" fontId="6" fillId="0" borderId="0" xfId="0" applyNumberFormat="1" applyFont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14" fillId="3" borderId="9" xfId="0" applyNumberFormat="1" applyFont="1" applyFill="1" applyBorder="1" applyAlignment="1">
      <alignment vertical="center"/>
    </xf>
    <xf numFmtId="4" fontId="14" fillId="2" borderId="0" xfId="0" applyNumberFormat="1" applyFont="1" applyFill="1" applyAlignment="1">
      <alignment vertical="center"/>
    </xf>
    <xf numFmtId="4" fontId="14" fillId="2" borderId="9" xfId="0" applyNumberFormat="1" applyFont="1" applyFill="1" applyBorder="1" applyAlignment="1">
      <alignment vertical="center"/>
    </xf>
    <xf numFmtId="4" fontId="9" fillId="0" borderId="0" xfId="0" applyNumberFormat="1" applyFont="1" applyAlignment="1">
      <alignment vertical="center"/>
    </xf>
    <xf numFmtId="4" fontId="9" fillId="4" borderId="0" xfId="0" applyNumberFormat="1" applyFont="1" applyFill="1" applyAlignment="1">
      <alignment vertical="center"/>
    </xf>
    <xf numFmtId="4" fontId="9" fillId="0" borderId="0" xfId="0" quotePrefix="1" applyNumberFormat="1" applyFont="1" applyAlignment="1">
      <alignment vertical="center"/>
    </xf>
    <xf numFmtId="4" fontId="14" fillId="0" borderId="0" xfId="0" applyNumberFormat="1" applyFont="1" applyAlignment="1">
      <alignment vertical="center"/>
    </xf>
    <xf numFmtId="4" fontId="14" fillId="4" borderId="0" xfId="0" applyNumberFormat="1" applyFont="1" applyFill="1" applyAlignment="1">
      <alignment vertical="center"/>
    </xf>
    <xf numFmtId="4" fontId="14" fillId="0" borderId="0" xfId="0" quotePrefix="1" applyNumberFormat="1" applyFont="1" applyAlignment="1">
      <alignment vertical="center"/>
    </xf>
    <xf numFmtId="4" fontId="25" fillId="2" borderId="23" xfId="0" applyNumberFormat="1" applyFont="1" applyFill="1" applyBorder="1" applyAlignment="1">
      <alignment vertical="center"/>
    </xf>
    <xf numFmtId="4" fontId="7" fillId="6" borderId="0" xfId="0" applyNumberFormat="1" applyFont="1" applyFill="1" applyAlignment="1">
      <alignment horizontal="center" vertical="center" wrapText="1"/>
    </xf>
    <xf numFmtId="4" fontId="5" fillId="6" borderId="1" xfId="0" applyNumberFormat="1" applyFont="1" applyFill="1" applyBorder="1" applyAlignment="1">
      <alignment vertical="center"/>
    </xf>
    <xf numFmtId="4" fontId="7" fillId="8" borderId="0" xfId="0" applyNumberFormat="1" applyFont="1" applyFill="1" applyAlignment="1">
      <alignment horizontal="center" vertical="center" wrapText="1"/>
    </xf>
    <xf numFmtId="4" fontId="5" fillId="8" borderId="9" xfId="0" applyNumberFormat="1" applyFont="1" applyFill="1" applyBorder="1" applyAlignment="1">
      <alignment vertical="center"/>
    </xf>
    <xf numFmtId="4" fontId="14" fillId="6" borderId="9" xfId="0" applyNumberFormat="1" applyFont="1" applyFill="1" applyBorder="1" applyAlignment="1">
      <alignment vertical="center"/>
    </xf>
    <xf numFmtId="4" fontId="14" fillId="8" borderId="9" xfId="0" applyNumberFormat="1" applyFont="1" applyFill="1" applyBorder="1" applyAlignment="1">
      <alignment vertical="center"/>
    </xf>
    <xf numFmtId="4" fontId="5" fillId="8" borderId="11" xfId="0" applyNumberFormat="1" applyFont="1" applyFill="1" applyBorder="1" applyAlignment="1">
      <alignment vertical="center"/>
    </xf>
    <xf numFmtId="4" fontId="0" fillId="8" borderId="0" xfId="0" applyNumberFormat="1" applyFill="1" applyAlignment="1">
      <alignment horizontal="center" vertical="center" wrapText="1"/>
    </xf>
    <xf numFmtId="4" fontId="5" fillId="8" borderId="1" xfId="0" applyNumberFormat="1" applyFont="1" applyFill="1" applyBorder="1" applyAlignment="1">
      <alignment vertical="center"/>
    </xf>
    <xf numFmtId="4" fontId="0" fillId="6" borderId="0" xfId="0" applyNumberFormat="1" applyFill="1" applyAlignment="1">
      <alignment horizontal="center" vertical="center" wrapText="1"/>
    </xf>
    <xf numFmtId="166" fontId="5" fillId="4" borderId="0" xfId="0" applyNumberFormat="1" applyFont="1" applyFill="1" applyAlignment="1">
      <alignment horizontal="right" vertical="center"/>
    </xf>
    <xf numFmtId="166" fontId="6" fillId="0" borderId="0" xfId="0" applyNumberFormat="1" applyFont="1" applyAlignment="1">
      <alignment horizontal="center" vertical="center"/>
    </xf>
    <xf numFmtId="166" fontId="0" fillId="3" borderId="0" xfId="0" applyNumberFormat="1" applyFill="1" applyAlignment="1">
      <alignment horizontal="center" vertical="center" wrapText="1"/>
    </xf>
    <xf numFmtId="166" fontId="0" fillId="3" borderId="0" xfId="0" applyNumberFormat="1" applyFill="1" applyAlignment="1">
      <alignment vertical="center"/>
    </xf>
    <xf numFmtId="166" fontId="14" fillId="4" borderId="0" xfId="0" applyNumberFormat="1" applyFont="1" applyFill="1" applyAlignment="1">
      <alignment vertical="center"/>
    </xf>
    <xf numFmtId="166" fontId="9" fillId="4" borderId="0" xfId="0" applyNumberFormat="1" applyFont="1" applyFill="1" applyAlignment="1">
      <alignment vertical="center"/>
    </xf>
    <xf numFmtId="166" fontId="0" fillId="4" borderId="0" xfId="0" applyNumberFormat="1" applyFill="1" applyAlignment="1">
      <alignment vertical="center"/>
    </xf>
    <xf numFmtId="166" fontId="5" fillId="0" borderId="0" xfId="0" applyNumberFormat="1" applyFont="1" applyAlignment="1">
      <alignment horizontal="right" vertical="center"/>
    </xf>
    <xf numFmtId="166" fontId="7" fillId="0" borderId="0" xfId="0" applyNumberFormat="1" applyFont="1" applyAlignment="1">
      <alignment horizontal="center" vertical="center"/>
    </xf>
    <xf numFmtId="166" fontId="0" fillId="0" borderId="0" xfId="0" applyNumberFormat="1" applyAlignment="1">
      <alignment horizontal="center" vertical="center" wrapText="1"/>
    </xf>
    <xf numFmtId="166" fontId="0" fillId="0" borderId="0" xfId="0" applyNumberFormat="1" applyAlignment="1">
      <alignment vertical="center"/>
    </xf>
    <xf numFmtId="166" fontId="14" fillId="0" borderId="0" xfId="0" applyNumberFormat="1" applyFont="1" applyAlignment="1">
      <alignment vertical="center"/>
    </xf>
    <xf numFmtId="166" fontId="9" fillId="0" borderId="0" xfId="0" applyNumberFormat="1" applyFont="1" applyAlignment="1">
      <alignment vertical="center"/>
    </xf>
    <xf numFmtId="166" fontId="7" fillId="3" borderId="0" xfId="0" applyNumberFormat="1" applyFont="1" applyFill="1" applyAlignment="1">
      <alignment horizontal="center" vertical="center" wrapText="1"/>
    </xf>
    <xf numFmtId="166" fontId="5" fillId="2" borderId="11" xfId="0" applyNumberFormat="1" applyFont="1" applyFill="1" applyBorder="1" applyAlignment="1">
      <alignment vertical="center"/>
    </xf>
    <xf numFmtId="166" fontId="10" fillId="2" borderId="0" xfId="0" applyNumberFormat="1" applyFont="1" applyFill="1" applyAlignment="1">
      <alignment vertical="center"/>
    </xf>
    <xf numFmtId="166" fontId="5" fillId="0" borderId="0" xfId="0" applyNumberFormat="1" applyFont="1" applyAlignment="1">
      <alignment vertical="center"/>
    </xf>
    <xf numFmtId="166" fontId="8" fillId="0" borderId="0" xfId="0" applyNumberFormat="1" applyFont="1" applyAlignment="1">
      <alignment vertical="center"/>
    </xf>
    <xf numFmtId="166" fontId="7" fillId="0" borderId="0" xfId="0" applyNumberFormat="1" applyFont="1" applyAlignment="1">
      <alignment vertical="center"/>
    </xf>
    <xf numFmtId="4" fontId="8" fillId="8" borderId="1" xfId="0" applyNumberFormat="1" applyFont="1" applyFill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 vertical="center" wrapText="1"/>
    </xf>
    <xf numFmtId="4" fontId="9" fillId="2" borderId="9" xfId="0" applyNumberFormat="1" applyFont="1" applyFill="1" applyBorder="1" applyAlignment="1">
      <alignment vertical="center"/>
    </xf>
    <xf numFmtId="4" fontId="16" fillId="2" borderId="9" xfId="0" applyNumberFormat="1" applyFont="1" applyFill="1" applyBorder="1" applyAlignment="1">
      <alignment vertical="center"/>
    </xf>
    <xf numFmtId="4" fontId="23" fillId="2" borderId="9" xfId="0" applyNumberFormat="1" applyFont="1" applyFill="1" applyBorder="1" applyAlignment="1">
      <alignment vertical="center"/>
    </xf>
    <xf numFmtId="4" fontId="17" fillId="2" borderId="9" xfId="0" applyNumberFormat="1" applyFont="1" applyFill="1" applyBorder="1" applyAlignment="1">
      <alignment vertical="center"/>
    </xf>
    <xf numFmtId="4" fontId="24" fillId="2" borderId="9" xfId="0" applyNumberFormat="1" applyFont="1" applyFill="1" applyBorder="1" applyAlignment="1">
      <alignment vertical="center"/>
    </xf>
    <xf numFmtId="4" fontId="16" fillId="3" borderId="9" xfId="0" applyNumberFormat="1" applyFont="1" applyFill="1" applyBorder="1" applyAlignment="1">
      <alignment vertical="center"/>
    </xf>
    <xf numFmtId="4" fontId="5" fillId="2" borderId="0" xfId="0" applyNumberFormat="1" applyFont="1" applyFill="1" applyAlignment="1">
      <alignment horizontal="center" vertical="center" wrapText="1"/>
    </xf>
    <xf numFmtId="0" fontId="30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31" fillId="0" borderId="0" xfId="0" applyFont="1"/>
    <xf numFmtId="0" fontId="32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0" fillId="2" borderId="0" xfId="0" applyFont="1" applyFill="1"/>
    <xf numFmtId="0" fontId="5" fillId="2" borderId="25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 wrapText="1"/>
    </xf>
    <xf numFmtId="0" fontId="31" fillId="2" borderId="0" xfId="0" applyFont="1" applyFill="1" applyAlignment="1">
      <alignment vertical="center"/>
    </xf>
    <xf numFmtId="0" fontId="32" fillId="2" borderId="0" xfId="0" applyFont="1" applyFill="1" applyAlignment="1">
      <alignment vertical="center"/>
    </xf>
    <xf numFmtId="0" fontId="5" fillId="2" borderId="25" xfId="0" quotePrefix="1" applyFont="1" applyFill="1" applyBorder="1" applyAlignment="1">
      <alignment horizontal="center" vertical="center" wrapText="1"/>
    </xf>
    <xf numFmtId="4" fontId="34" fillId="2" borderId="25" xfId="0" applyNumberFormat="1" applyFont="1" applyFill="1" applyBorder="1" applyAlignment="1">
      <alignment horizontal="right" vertical="center"/>
    </xf>
    <xf numFmtId="0" fontId="34" fillId="2" borderId="25" xfId="0" applyFont="1" applyFill="1" applyBorder="1" applyAlignment="1">
      <alignment horizontal="center" vertical="center"/>
    </xf>
    <xf numFmtId="0" fontId="34" fillId="2" borderId="25" xfId="0" quotePrefix="1" applyFont="1" applyFill="1" applyBorder="1" applyAlignment="1">
      <alignment horizontal="center" vertical="center"/>
    </xf>
    <xf numFmtId="168" fontId="5" fillId="2" borderId="25" xfId="0" applyNumberFormat="1" applyFont="1" applyFill="1" applyBorder="1" applyAlignment="1">
      <alignment horizontal="center" vertical="center"/>
    </xf>
    <xf numFmtId="4" fontId="10" fillId="2" borderId="25" xfId="0" applyNumberFormat="1" applyFont="1" applyFill="1" applyBorder="1" applyAlignment="1">
      <alignment horizontal="right" vertical="center"/>
    </xf>
    <xf numFmtId="0" fontId="5" fillId="2" borderId="25" xfId="0" applyFont="1" applyFill="1" applyBorder="1" applyAlignment="1">
      <alignment horizontal="left" vertical="center" wrapText="1"/>
    </xf>
    <xf numFmtId="4" fontId="5" fillId="2" borderId="25" xfId="0" applyNumberFormat="1" applyFont="1" applyFill="1" applyBorder="1" applyAlignment="1">
      <alignment vertical="center"/>
    </xf>
    <xf numFmtId="4" fontId="35" fillId="0" borderId="0" xfId="0" applyNumberFormat="1" applyFont="1" applyAlignment="1">
      <alignment vertical="center"/>
    </xf>
    <xf numFmtId="169" fontId="35" fillId="0" borderId="0" xfId="0" applyNumberFormat="1" applyFont="1" applyAlignment="1">
      <alignment vertical="center"/>
    </xf>
    <xf numFmtId="0" fontId="10" fillId="2" borderId="25" xfId="0" applyFont="1" applyFill="1" applyBorder="1" applyAlignment="1">
      <alignment horizontal="center" vertical="center"/>
    </xf>
    <xf numFmtId="2" fontId="5" fillId="2" borderId="25" xfId="0" quotePrefix="1" applyNumberFormat="1" applyFont="1" applyFill="1" applyBorder="1" applyAlignment="1">
      <alignment horizontal="center" vertical="center"/>
    </xf>
    <xf numFmtId="0" fontId="14" fillId="2" borderId="25" xfId="0" applyFont="1" applyFill="1" applyBorder="1" applyAlignment="1">
      <alignment horizontal="left" vertical="center"/>
    </xf>
    <xf numFmtId="170" fontId="14" fillId="2" borderId="25" xfId="0" quotePrefix="1" applyNumberFormat="1" applyFont="1" applyFill="1" applyBorder="1" applyAlignment="1">
      <alignment horizontal="center" vertical="center"/>
    </xf>
    <xf numFmtId="168" fontId="14" fillId="2" borderId="25" xfId="0" applyNumberFormat="1" applyFont="1" applyFill="1" applyBorder="1" applyAlignment="1">
      <alignment horizontal="center" vertical="center"/>
    </xf>
    <xf numFmtId="4" fontId="14" fillId="2" borderId="25" xfId="0" applyNumberFormat="1" applyFont="1" applyFill="1" applyBorder="1" applyAlignment="1">
      <alignment vertical="center"/>
    </xf>
    <xf numFmtId="4" fontId="14" fillId="2" borderId="25" xfId="0" applyNumberFormat="1" applyFont="1" applyFill="1" applyBorder="1" applyAlignment="1">
      <alignment horizontal="right" vertical="center"/>
    </xf>
    <xf numFmtId="2" fontId="31" fillId="0" borderId="0" xfId="0" applyNumberFormat="1" applyFont="1" applyAlignment="1">
      <alignment vertical="center"/>
    </xf>
    <xf numFmtId="170" fontId="5" fillId="2" borderId="25" xfId="0" quotePrefix="1" applyNumberFormat="1" applyFont="1" applyFill="1" applyBorder="1" applyAlignment="1">
      <alignment horizontal="center" vertical="center"/>
    </xf>
    <xf numFmtId="2" fontId="14" fillId="2" borderId="25" xfId="0" quotePrefix="1" applyNumberFormat="1" applyFont="1" applyFill="1" applyBorder="1" applyAlignment="1">
      <alignment horizontal="center" vertical="center"/>
    </xf>
    <xf numFmtId="14" fontId="5" fillId="2" borderId="25" xfId="0" quotePrefix="1" applyNumberFormat="1" applyFont="1" applyFill="1" applyBorder="1" applyAlignment="1">
      <alignment horizontal="center" vertical="center"/>
    </xf>
    <xf numFmtId="4" fontId="10" fillId="2" borderId="25" xfId="0" applyNumberFormat="1" applyFont="1" applyFill="1" applyBorder="1" applyAlignment="1">
      <alignment vertical="center"/>
    </xf>
    <xf numFmtId="170" fontId="14" fillId="0" borderId="25" xfId="0" applyNumberFormat="1" applyFont="1" applyBorder="1" applyAlignment="1">
      <alignment horizontal="left" vertical="center"/>
    </xf>
    <xf numFmtId="170" fontId="5" fillId="2" borderId="25" xfId="0" applyNumberFormat="1" applyFont="1" applyFill="1" applyBorder="1" applyAlignment="1">
      <alignment horizontal="center" vertical="center"/>
    </xf>
    <xf numFmtId="4" fontId="10" fillId="2" borderId="25" xfId="0" applyNumberFormat="1" applyFont="1" applyFill="1" applyBorder="1" applyAlignment="1">
      <alignment horizontal="right" vertical="center" wrapText="1"/>
    </xf>
    <xf numFmtId="170" fontId="14" fillId="2" borderId="25" xfId="0" applyNumberFormat="1" applyFont="1" applyFill="1" applyBorder="1" applyAlignment="1">
      <alignment horizontal="left" vertical="center"/>
    </xf>
    <xf numFmtId="170" fontId="14" fillId="2" borderId="25" xfId="0" applyNumberFormat="1" applyFont="1" applyFill="1" applyBorder="1" applyAlignment="1">
      <alignment horizontal="center" vertical="center"/>
    </xf>
    <xf numFmtId="4" fontId="14" fillId="2" borderId="25" xfId="0" applyNumberFormat="1" applyFont="1" applyFill="1" applyBorder="1" applyAlignment="1">
      <alignment horizontal="right" vertical="center" wrapText="1"/>
    </xf>
    <xf numFmtId="0" fontId="36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2" fontId="14" fillId="0" borderId="25" xfId="0" quotePrefix="1" applyNumberFormat="1" applyFont="1" applyBorder="1" applyAlignment="1">
      <alignment horizontal="center" vertical="center"/>
    </xf>
    <xf numFmtId="4" fontId="14" fillId="0" borderId="25" xfId="0" applyNumberFormat="1" applyFont="1" applyBorder="1" applyAlignment="1">
      <alignment vertical="center"/>
    </xf>
    <xf numFmtId="4" fontId="14" fillId="0" borderId="25" xfId="0" applyNumberFormat="1" applyFont="1" applyBorder="1" applyAlignment="1">
      <alignment horizontal="right" vertical="center"/>
    </xf>
    <xf numFmtId="0" fontId="10" fillId="2" borderId="25" xfId="0" quotePrefix="1" applyFont="1" applyFill="1" applyBorder="1" applyAlignment="1">
      <alignment horizontal="center" vertical="center"/>
    </xf>
    <xf numFmtId="4" fontId="10" fillId="2" borderId="25" xfId="1" applyNumberFormat="1" applyFont="1" applyFill="1" applyBorder="1" applyAlignment="1">
      <alignment vertical="center"/>
    </xf>
    <xf numFmtId="0" fontId="14" fillId="2" borderId="25" xfId="0" quotePrefix="1" applyFont="1" applyFill="1" applyBorder="1" applyAlignment="1">
      <alignment horizontal="left" vertical="center" wrapText="1"/>
    </xf>
    <xf numFmtId="171" fontId="31" fillId="0" borderId="0" xfId="0" applyNumberFormat="1" applyFont="1" applyAlignment="1">
      <alignment vertical="center"/>
    </xf>
    <xf numFmtId="0" fontId="38" fillId="0" borderId="0" xfId="0" applyFont="1"/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30" fillId="9" borderId="0" xfId="0" applyFont="1" applyFill="1"/>
    <xf numFmtId="0" fontId="31" fillId="9" borderId="0" xfId="0" applyFont="1" applyFill="1"/>
    <xf numFmtId="0" fontId="32" fillId="9" borderId="0" xfId="0" applyFont="1" applyFill="1"/>
    <xf numFmtId="0" fontId="5" fillId="2" borderId="0" xfId="0" applyFont="1" applyFill="1"/>
    <xf numFmtId="14" fontId="40" fillId="0" borderId="0" xfId="0" quotePrefix="1" applyNumberFormat="1" applyFont="1" applyAlignment="1">
      <alignment horizontal="left"/>
    </xf>
    <xf numFmtId="0" fontId="14" fillId="0" borderId="0" xfId="0" applyFont="1"/>
    <xf numFmtId="49" fontId="14" fillId="0" borderId="0" xfId="0" applyNumberFormat="1" applyFont="1"/>
    <xf numFmtId="0" fontId="14" fillId="0" borderId="0" xfId="0" applyFont="1" applyAlignment="1">
      <alignment horizontal="right"/>
    </xf>
    <xf numFmtId="0" fontId="30" fillId="10" borderId="0" xfId="0" applyFont="1" applyFill="1"/>
    <xf numFmtId="0" fontId="5" fillId="10" borderId="25" xfId="0" applyFont="1" applyFill="1" applyBorder="1" applyAlignment="1">
      <alignment horizontal="center" vertical="center"/>
    </xf>
    <xf numFmtId="0" fontId="5" fillId="10" borderId="26" xfId="0" quotePrefix="1" applyFont="1" applyFill="1" applyBorder="1" applyAlignment="1">
      <alignment horizontal="center" vertical="center" wrapText="1"/>
    </xf>
    <xf numFmtId="0" fontId="5" fillId="10" borderId="27" xfId="0" applyFont="1" applyFill="1" applyBorder="1" applyAlignment="1">
      <alignment horizontal="center" vertical="center" wrapText="1"/>
    </xf>
    <xf numFmtId="0" fontId="5" fillId="10" borderId="25" xfId="0" applyFont="1" applyFill="1" applyBorder="1" applyAlignment="1">
      <alignment horizontal="center" vertical="center" wrapText="1"/>
    </xf>
    <xf numFmtId="0" fontId="32" fillId="10" borderId="0" xfId="0" applyFont="1" applyFill="1" applyAlignment="1">
      <alignment vertical="center"/>
    </xf>
    <xf numFmtId="0" fontId="34" fillId="2" borderId="26" xfId="0" applyFont="1" applyFill="1" applyBorder="1" applyAlignment="1">
      <alignment horizontal="center" vertical="center"/>
    </xf>
    <xf numFmtId="0" fontId="34" fillId="2" borderId="27" xfId="0" applyFont="1" applyFill="1" applyBorder="1" applyAlignment="1">
      <alignment horizontal="center" vertical="center"/>
    </xf>
    <xf numFmtId="49" fontId="34" fillId="2" borderId="28" xfId="0" applyNumberFormat="1" applyFont="1" applyFill="1" applyBorder="1" applyAlignment="1">
      <alignment horizontal="center" vertical="center"/>
    </xf>
    <xf numFmtId="4" fontId="43" fillId="2" borderId="25" xfId="0" applyNumberFormat="1" applyFont="1" applyFill="1" applyBorder="1" applyAlignment="1">
      <alignment horizontal="right" vertical="center"/>
    </xf>
    <xf numFmtId="0" fontId="44" fillId="0" borderId="0" xfId="0" applyFont="1" applyAlignment="1">
      <alignment vertical="center"/>
    </xf>
    <xf numFmtId="170" fontId="14" fillId="0" borderId="25" xfId="0" applyNumberFormat="1" applyFont="1" applyBorder="1" applyAlignment="1">
      <alignment horizontal="center" vertical="center"/>
    </xf>
    <xf numFmtId="0" fontId="45" fillId="2" borderId="25" xfId="0" applyFont="1" applyFill="1" applyBorder="1" applyAlignment="1">
      <alignment horizontal="center" vertical="center"/>
    </xf>
    <xf numFmtId="0" fontId="46" fillId="2" borderId="25" xfId="0" applyFont="1" applyFill="1" applyBorder="1" applyAlignment="1">
      <alignment horizontal="center" vertical="center"/>
    </xf>
    <xf numFmtId="4" fontId="32" fillId="0" borderId="0" xfId="0" applyNumberFormat="1" applyFont="1" applyAlignment="1">
      <alignment vertical="center"/>
    </xf>
    <xf numFmtId="2" fontId="10" fillId="2" borderId="25" xfId="0" applyNumberFormat="1" applyFont="1" applyFill="1" applyBorder="1" applyAlignment="1">
      <alignment horizontal="center" vertical="center"/>
    </xf>
    <xf numFmtId="170" fontId="14" fillId="0" borderId="25" xfId="0" applyNumberFormat="1" applyFont="1" applyBorder="1" applyAlignment="1">
      <alignment horizontal="center" vertical="center" wrapText="1"/>
    </xf>
    <xf numFmtId="4" fontId="47" fillId="2" borderId="25" xfId="0" applyNumberFormat="1" applyFont="1" applyFill="1" applyBorder="1" applyAlignment="1">
      <alignment horizontal="right" vertical="center"/>
    </xf>
    <xf numFmtId="10" fontId="32" fillId="0" borderId="0" xfId="0" applyNumberFormat="1" applyFont="1" applyAlignment="1">
      <alignment vertical="center"/>
    </xf>
    <xf numFmtId="0" fontId="27" fillId="2" borderId="25" xfId="0" applyFont="1" applyFill="1" applyBorder="1" applyAlignment="1">
      <alignment horizontal="center" vertical="center"/>
    </xf>
    <xf numFmtId="2" fontId="28" fillId="2" borderId="25" xfId="0" applyNumberFormat="1" applyFont="1" applyFill="1" applyBorder="1" applyAlignment="1">
      <alignment horizontal="center" vertical="center"/>
    </xf>
    <xf numFmtId="49" fontId="28" fillId="2" borderId="25" xfId="0" applyNumberFormat="1" applyFont="1" applyFill="1" applyBorder="1" applyAlignment="1">
      <alignment horizontal="center" vertical="center"/>
    </xf>
    <xf numFmtId="4" fontId="26" fillId="2" borderId="25" xfId="0" applyNumberFormat="1" applyFont="1" applyFill="1" applyBorder="1" applyAlignment="1">
      <alignment horizontal="right" vertical="center"/>
    </xf>
    <xf numFmtId="2" fontId="14" fillId="2" borderId="25" xfId="0" applyNumberFormat="1" applyFont="1" applyFill="1" applyBorder="1" applyAlignment="1">
      <alignment horizontal="center" vertical="center"/>
    </xf>
    <xf numFmtId="0" fontId="23" fillId="2" borderId="25" xfId="0" applyFont="1" applyFill="1" applyBorder="1"/>
    <xf numFmtId="49" fontId="23" fillId="2" borderId="25" xfId="0" applyNumberFormat="1" applyFont="1" applyFill="1" applyBorder="1"/>
    <xf numFmtId="0" fontId="14" fillId="0" borderId="0" xfId="0" applyFont="1" applyAlignment="1">
      <alignment horizontal="center" vertical="top"/>
    </xf>
    <xf numFmtId="0" fontId="23" fillId="0" borderId="0" xfId="0" applyFont="1"/>
    <xf numFmtId="0" fontId="23" fillId="0" borderId="0" xfId="0" applyFont="1" applyAlignment="1">
      <alignment horizontal="left"/>
    </xf>
    <xf numFmtId="0" fontId="23" fillId="0" borderId="0" xfId="0" quotePrefix="1" applyFont="1" applyAlignment="1">
      <alignment horizontal="left"/>
    </xf>
    <xf numFmtId="49" fontId="23" fillId="0" borderId="0" xfId="0" quotePrefix="1" applyNumberFormat="1" applyFont="1" applyAlignment="1">
      <alignment horizontal="left"/>
    </xf>
    <xf numFmtId="0" fontId="48" fillId="0" borderId="0" xfId="0" applyFont="1"/>
    <xf numFmtId="49" fontId="48" fillId="0" borderId="0" xfId="0" applyNumberFormat="1" applyFont="1"/>
    <xf numFmtId="0" fontId="14" fillId="0" borderId="0" xfId="0" applyFont="1" applyAlignment="1">
      <alignment horizontal="right" vertical="top"/>
    </xf>
    <xf numFmtId="0" fontId="14" fillId="0" borderId="0" xfId="0" applyFont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32" fillId="11" borderId="0" xfId="0" applyFont="1" applyFill="1" applyAlignment="1">
      <alignment vertical="center"/>
    </xf>
    <xf numFmtId="0" fontId="34" fillId="2" borderId="28" xfId="0" applyFont="1" applyFill="1" applyBorder="1" applyAlignment="1">
      <alignment horizontal="center" vertical="center"/>
    </xf>
    <xf numFmtId="0" fontId="34" fillId="2" borderId="25" xfId="0" applyFont="1" applyFill="1" applyBorder="1" applyAlignment="1">
      <alignment horizontal="center" vertical="center" wrapText="1"/>
    </xf>
    <xf numFmtId="0" fontId="5" fillId="2" borderId="25" xfId="0" quotePrefix="1" applyFont="1" applyFill="1" applyBorder="1" applyAlignment="1">
      <alignment horizontal="center" vertical="center"/>
    </xf>
    <xf numFmtId="4" fontId="31" fillId="0" borderId="0" xfId="0" applyNumberFormat="1" applyFont="1" applyAlignment="1">
      <alignment vertical="center"/>
    </xf>
    <xf numFmtId="0" fontId="34" fillId="2" borderId="25" xfId="0" applyFont="1" applyFill="1" applyBorder="1" applyAlignment="1">
      <alignment horizontal="left" vertical="center"/>
    </xf>
    <xf numFmtId="172" fontId="31" fillId="0" borderId="0" xfId="0" applyNumberFormat="1" applyFont="1" applyAlignment="1">
      <alignment vertical="center"/>
    </xf>
    <xf numFmtId="164" fontId="32" fillId="0" borderId="0" xfId="0" applyNumberFormat="1" applyFont="1" applyAlignment="1">
      <alignment vertical="center"/>
    </xf>
    <xf numFmtId="173" fontId="31" fillId="0" borderId="0" xfId="1" applyNumberFormat="1" applyFont="1" applyAlignment="1">
      <alignment vertical="center"/>
    </xf>
    <xf numFmtId="174" fontId="31" fillId="0" borderId="0" xfId="0" applyNumberFormat="1" applyFont="1" applyAlignment="1">
      <alignment vertical="center"/>
    </xf>
    <xf numFmtId="0" fontId="14" fillId="2" borderId="25" xfId="0" quotePrefix="1" applyFont="1" applyFill="1" applyBorder="1" applyAlignment="1">
      <alignment horizontal="left" vertical="center"/>
    </xf>
    <xf numFmtId="175" fontId="31" fillId="0" borderId="0" xfId="0" applyNumberFormat="1" applyFont="1" applyAlignment="1">
      <alignment vertical="center"/>
    </xf>
    <xf numFmtId="0" fontId="10" fillId="2" borderId="25" xfId="0" applyFont="1" applyFill="1" applyBorder="1" applyAlignment="1">
      <alignment horizontal="left" vertical="center"/>
    </xf>
    <xf numFmtId="176" fontId="5" fillId="2" borderId="25" xfId="0" applyNumberFormat="1" applyFont="1" applyFill="1" applyBorder="1" applyAlignment="1">
      <alignment horizontal="center" vertical="center"/>
    </xf>
    <xf numFmtId="176" fontId="14" fillId="2" borderId="25" xfId="0" applyNumberFormat="1" applyFont="1" applyFill="1" applyBorder="1" applyAlignment="1">
      <alignment horizontal="center" vertical="center"/>
    </xf>
    <xf numFmtId="170" fontId="14" fillId="0" borderId="25" xfId="0" applyNumberFormat="1" applyFont="1" applyBorder="1" applyAlignment="1">
      <alignment horizontal="left" vertical="center" wrapText="1"/>
    </xf>
    <xf numFmtId="2" fontId="10" fillId="2" borderId="25" xfId="0" applyNumberFormat="1" applyFont="1" applyFill="1" applyBorder="1" applyAlignment="1">
      <alignment horizontal="left" vertical="center"/>
    </xf>
    <xf numFmtId="176" fontId="5" fillId="2" borderId="25" xfId="0" applyNumberFormat="1" applyFont="1" applyFill="1" applyBorder="1" applyAlignment="1">
      <alignment horizontal="left" vertical="center"/>
    </xf>
    <xf numFmtId="174" fontId="31" fillId="2" borderId="0" xfId="0" applyNumberFormat="1" applyFont="1" applyFill="1" applyAlignment="1">
      <alignment vertical="center"/>
    </xf>
    <xf numFmtId="0" fontId="35" fillId="2" borderId="0" xfId="0" applyFont="1" applyFill="1" applyAlignment="1">
      <alignment vertical="center"/>
    </xf>
    <xf numFmtId="0" fontId="10" fillId="2" borderId="25" xfId="0" quotePrefix="1" applyFont="1" applyFill="1" applyBorder="1" applyAlignment="1">
      <alignment horizontal="left" vertical="center"/>
    </xf>
    <xf numFmtId="170" fontId="23" fillId="2" borderId="25" xfId="0" quotePrefix="1" applyNumberFormat="1" applyFont="1" applyFill="1" applyBorder="1" applyAlignment="1">
      <alignment horizontal="center" vertical="center"/>
    </xf>
    <xf numFmtId="4" fontId="23" fillId="2" borderId="25" xfId="0" applyNumberFormat="1" applyFont="1" applyFill="1" applyBorder="1" applyAlignment="1">
      <alignment vertical="center"/>
    </xf>
    <xf numFmtId="0" fontId="14" fillId="2" borderId="25" xfId="0" quotePrefix="1" applyFont="1" applyFill="1" applyBorder="1" applyAlignment="1">
      <alignment horizontal="center" vertical="center"/>
    </xf>
    <xf numFmtId="175" fontId="14" fillId="2" borderId="25" xfId="0" quotePrefix="1" applyNumberFormat="1" applyFont="1" applyFill="1" applyBorder="1" applyAlignment="1">
      <alignment horizontal="center" vertical="center"/>
    </xf>
    <xf numFmtId="175" fontId="31" fillId="2" borderId="0" xfId="0" applyNumberFormat="1" applyFont="1" applyFill="1" applyAlignment="1">
      <alignment vertical="center"/>
    </xf>
    <xf numFmtId="0" fontId="5" fillId="0" borderId="0" xfId="0" applyFont="1" applyAlignment="1">
      <alignment vertical="top"/>
    </xf>
    <xf numFmtId="0" fontId="23" fillId="0" borderId="0" xfId="0" applyFont="1" applyAlignment="1">
      <alignment wrapText="1"/>
    </xf>
    <xf numFmtId="0" fontId="49" fillId="0" borderId="0" xfId="0" applyFont="1" applyAlignment="1">
      <alignment horizontal="left"/>
    </xf>
    <xf numFmtId="0" fontId="14" fillId="0" borderId="0" xfId="0" quotePrefix="1" applyFont="1" applyAlignment="1">
      <alignment horizontal="left"/>
    </xf>
    <xf numFmtId="37" fontId="5" fillId="2" borderId="0" xfId="2" applyFont="1" applyFill="1" applyAlignment="1">
      <alignment vertical="top"/>
    </xf>
    <xf numFmtId="37" fontId="14" fillId="0" borderId="16" xfId="2" applyFont="1" applyBorder="1" applyAlignment="1">
      <alignment horizontal="center" vertical="top"/>
    </xf>
    <xf numFmtId="37" fontId="14" fillId="0" borderId="29" xfId="2" applyFont="1" applyBorder="1" applyAlignment="1">
      <alignment horizontal="center" vertical="top"/>
    </xf>
    <xf numFmtId="37" fontId="14" fillId="0" borderId="30" xfId="2" applyFont="1" applyBorder="1" applyAlignment="1">
      <alignment horizontal="center" vertical="top"/>
    </xf>
    <xf numFmtId="4" fontId="14" fillId="0" borderId="0" xfId="2" applyNumberFormat="1" applyFont="1" applyAlignment="1">
      <alignment horizontal="center" vertical="top"/>
    </xf>
    <xf numFmtId="37" fontId="14" fillId="0" borderId="0" xfId="2" applyFont="1" applyAlignment="1">
      <alignment horizontal="center" vertical="top"/>
    </xf>
    <xf numFmtId="37" fontId="14" fillId="2" borderId="0" xfId="2" applyFont="1" applyFill="1" applyAlignment="1">
      <alignment horizontal="center" vertical="top"/>
    </xf>
    <xf numFmtId="4" fontId="14" fillId="2" borderId="0" xfId="2" applyNumberFormat="1" applyFont="1" applyFill="1" applyAlignment="1">
      <alignment vertical="top" wrapText="1"/>
    </xf>
    <xf numFmtId="4" fontId="5" fillId="2" borderId="0" xfId="2" applyNumberFormat="1" applyFont="1" applyFill="1" applyAlignment="1">
      <alignment horizontal="center" vertical="top" wrapText="1"/>
    </xf>
    <xf numFmtId="4" fontId="5" fillId="2" borderId="0" xfId="2" applyNumberFormat="1" applyFont="1" applyFill="1" applyAlignment="1">
      <alignment vertical="top"/>
    </xf>
    <xf numFmtId="37" fontId="5" fillId="2" borderId="0" xfId="2" applyFont="1" applyFill="1" applyAlignment="1">
      <alignment horizontal="center" vertical="center"/>
    </xf>
    <xf numFmtId="37" fontId="14" fillId="0" borderId="20" xfId="2" applyFont="1" applyBorder="1" applyAlignment="1">
      <alignment horizontal="center" vertical="center"/>
    </xf>
    <xf numFmtId="4" fontId="14" fillId="0" borderId="0" xfId="2" applyNumberFormat="1" applyFont="1" applyAlignment="1">
      <alignment horizontal="center" vertical="center"/>
    </xf>
    <xf numFmtId="37" fontId="14" fillId="0" borderId="0" xfId="2" applyFont="1" applyAlignment="1">
      <alignment horizontal="center" vertical="center"/>
    </xf>
    <xf numFmtId="37" fontId="14" fillId="2" borderId="0" xfId="2" applyFont="1" applyFill="1" applyAlignment="1">
      <alignment horizontal="center" vertical="center"/>
    </xf>
    <xf numFmtId="4" fontId="5" fillId="2" borderId="0" xfId="2" applyNumberFormat="1" applyFont="1" applyFill="1" applyAlignment="1">
      <alignment horizontal="center" vertical="center"/>
    </xf>
    <xf numFmtId="4" fontId="5" fillId="2" borderId="0" xfId="2" applyNumberFormat="1" applyFont="1" applyFill="1" applyAlignment="1">
      <alignment horizontal="center" vertical="center" wrapText="1"/>
    </xf>
    <xf numFmtId="4" fontId="14" fillId="0" borderId="0" xfId="2" applyNumberFormat="1" applyFont="1" applyAlignment="1">
      <alignment horizontal="center" vertical="center" wrapText="1"/>
    </xf>
    <xf numFmtId="37" fontId="14" fillId="0" borderId="0" xfId="2" applyFont="1" applyAlignment="1">
      <alignment horizontal="center" vertical="center" wrapText="1"/>
    </xf>
    <xf numFmtId="37" fontId="14" fillId="2" borderId="0" xfId="2" applyFont="1" applyFill="1" applyAlignment="1">
      <alignment horizontal="center" vertical="center" wrapText="1"/>
    </xf>
    <xf numFmtId="37" fontId="5" fillId="2" borderId="0" xfId="2" applyFont="1" applyFill="1" applyAlignment="1">
      <alignment vertical="center" wrapText="1"/>
    </xf>
    <xf numFmtId="37" fontId="5" fillId="2" borderId="0" xfId="2" applyFont="1" applyFill="1" applyAlignment="1">
      <alignment horizontal="center" vertical="center" wrapText="1"/>
    </xf>
    <xf numFmtId="4" fontId="14" fillId="2" borderId="0" xfId="2" applyNumberFormat="1" applyFont="1" applyFill="1" applyAlignment="1">
      <alignment vertical="center"/>
    </xf>
    <xf numFmtId="4" fontId="14" fillId="2" borderId="0" xfId="2" applyNumberFormat="1" applyFont="1" applyFill="1" applyAlignment="1">
      <alignment horizontal="center" vertical="center"/>
    </xf>
    <xf numFmtId="37" fontId="5" fillId="2" borderId="0" xfId="2" applyFont="1" applyFill="1"/>
    <xf numFmtId="4" fontId="14" fillId="0" borderId="9" xfId="2" applyNumberFormat="1" applyFont="1" applyBorder="1" applyAlignment="1">
      <alignment horizontal="center" vertical="center" wrapText="1"/>
    </xf>
    <xf numFmtId="37" fontId="14" fillId="0" borderId="9" xfId="2" applyFont="1" applyBorder="1" applyAlignment="1">
      <alignment horizontal="center" vertical="center" wrapText="1"/>
    </xf>
    <xf numFmtId="37" fontId="14" fillId="2" borderId="0" xfId="2" applyFont="1" applyFill="1"/>
    <xf numFmtId="4" fontId="5" fillId="2" borderId="0" xfId="2" applyNumberFormat="1" applyFont="1" applyFill="1"/>
    <xf numFmtId="37" fontId="14" fillId="0" borderId="22" xfId="2" applyFont="1" applyBorder="1" applyAlignment="1">
      <alignment horizontal="center" vertical="top" wrapText="1"/>
    </xf>
    <xf numFmtId="37" fontId="14" fillId="0" borderId="32" xfId="2" applyFont="1" applyBorder="1" applyAlignment="1">
      <alignment horizontal="center" vertical="top" wrapText="1"/>
    </xf>
    <xf numFmtId="37" fontId="14" fillId="0" borderId="11" xfId="2" applyFont="1" applyBorder="1" applyAlignment="1">
      <alignment horizontal="center" vertical="top" wrapText="1"/>
    </xf>
    <xf numFmtId="4" fontId="14" fillId="0" borderId="11" xfId="2" applyNumberFormat="1" applyFont="1" applyBorder="1" applyAlignment="1">
      <alignment horizontal="center" vertical="center" wrapText="1"/>
    </xf>
    <xf numFmtId="37" fontId="14" fillId="0" borderId="11" xfId="2" applyFont="1" applyBorder="1" applyAlignment="1">
      <alignment horizontal="center" vertical="center" wrapText="1"/>
    </xf>
    <xf numFmtId="37" fontId="14" fillId="2" borderId="0" xfId="2" applyFont="1" applyFill="1" applyAlignment="1">
      <alignment vertical="center"/>
    </xf>
    <xf numFmtId="4" fontId="10" fillId="0" borderId="0" xfId="3" applyNumberFormat="1" applyFont="1" applyFill="1" applyBorder="1" applyAlignment="1" applyProtection="1">
      <alignment vertical="center"/>
    </xf>
    <xf numFmtId="172" fontId="14" fillId="0" borderId="20" xfId="3" applyNumberFormat="1" applyFont="1" applyFill="1" applyBorder="1" applyAlignment="1" applyProtection="1">
      <alignment horizontal="center" vertical="center"/>
    </xf>
    <xf numFmtId="4" fontId="14" fillId="0" borderId="0" xfId="3" applyNumberFormat="1" applyFont="1" applyFill="1" applyBorder="1" applyAlignment="1" applyProtection="1">
      <alignment horizontal="center" vertical="center"/>
    </xf>
    <xf numFmtId="172" fontId="14" fillId="0" borderId="0" xfId="3" applyNumberFormat="1" applyFont="1" applyFill="1" applyBorder="1" applyAlignment="1" applyProtection="1">
      <alignment horizontal="center" vertical="center"/>
    </xf>
    <xf numFmtId="37" fontId="5" fillId="2" borderId="0" xfId="2" applyFont="1" applyFill="1" applyAlignment="1">
      <alignment vertical="center"/>
    </xf>
    <xf numFmtId="37" fontId="26" fillId="0" borderId="18" xfId="2" applyFont="1" applyBorder="1" applyAlignment="1">
      <alignment horizontal="left" vertical="center"/>
    </xf>
    <xf numFmtId="37" fontId="26" fillId="0" borderId="0" xfId="2" applyFont="1" applyAlignment="1">
      <alignment horizontal="center" vertical="center"/>
    </xf>
    <xf numFmtId="4" fontId="26" fillId="0" borderId="0" xfId="3" applyNumberFormat="1" applyFont="1" applyFill="1" applyBorder="1" applyAlignment="1" applyProtection="1">
      <alignment vertical="center"/>
    </xf>
    <xf numFmtId="4" fontId="5" fillId="2" borderId="0" xfId="2" applyNumberFormat="1" applyFont="1" applyFill="1" applyAlignment="1">
      <alignment vertical="center"/>
    </xf>
    <xf numFmtId="37" fontId="14" fillId="13" borderId="0" xfId="2" applyFont="1" applyFill="1" applyAlignment="1">
      <alignment vertical="top"/>
    </xf>
    <xf numFmtId="1" fontId="14" fillId="13" borderId="14" xfId="2" applyNumberFormat="1" applyFont="1" applyFill="1" applyBorder="1" applyAlignment="1">
      <alignment horizontal="center" vertical="center"/>
    </xf>
    <xf numFmtId="168" fontId="23" fillId="13" borderId="33" xfId="2" quotePrefix="1" applyNumberFormat="1" applyFont="1" applyFill="1" applyBorder="1" applyAlignment="1">
      <alignment horizontal="center" vertical="center"/>
    </xf>
    <xf numFmtId="168" fontId="23" fillId="13" borderId="14" xfId="2" applyNumberFormat="1" applyFont="1" applyFill="1" applyBorder="1" applyAlignment="1">
      <alignment horizontal="center" vertical="center"/>
    </xf>
    <xf numFmtId="4" fontId="14" fillId="13" borderId="34" xfId="3" applyNumberFormat="1" applyFont="1" applyFill="1" applyBorder="1" applyAlignment="1" applyProtection="1">
      <alignment vertical="center"/>
    </xf>
    <xf numFmtId="172" fontId="14" fillId="13" borderId="14" xfId="3" applyNumberFormat="1" applyFont="1" applyFill="1" applyBorder="1" applyAlignment="1" applyProtection="1">
      <alignment horizontal="center" vertical="center"/>
    </xf>
    <xf numFmtId="4" fontId="14" fillId="13" borderId="14" xfId="3" applyNumberFormat="1" applyFont="1" applyFill="1" applyBorder="1" applyAlignment="1" applyProtection="1">
      <alignment horizontal="center" vertical="center"/>
    </xf>
    <xf numFmtId="178" fontId="14" fillId="13" borderId="14" xfId="3" applyNumberFormat="1" applyFont="1" applyFill="1" applyBorder="1" applyAlignment="1" applyProtection="1">
      <alignment horizontal="center" vertical="center"/>
    </xf>
    <xf numFmtId="4" fontId="14" fillId="14" borderId="14" xfId="2" applyNumberFormat="1" applyFont="1" applyFill="1" applyBorder="1" applyAlignment="1">
      <alignment vertical="center"/>
    </xf>
    <xf numFmtId="37" fontId="14" fillId="13" borderId="0" xfId="2" applyFont="1" applyFill="1" applyAlignment="1">
      <alignment horizontal="left" vertical="center"/>
    </xf>
    <xf numFmtId="4" fontId="14" fillId="13" borderId="0" xfId="2" applyNumberFormat="1" applyFont="1" applyFill="1" applyAlignment="1">
      <alignment vertical="top"/>
    </xf>
    <xf numFmtId="37" fontId="5" fillId="12" borderId="0" xfId="2" applyFont="1" applyFill="1" applyAlignment="1">
      <alignment vertical="center"/>
    </xf>
    <xf numFmtId="168" fontId="23" fillId="13" borderId="34" xfId="2" applyNumberFormat="1" applyFont="1" applyFill="1" applyBorder="1" applyAlignment="1">
      <alignment horizontal="center" vertical="center"/>
    </xf>
    <xf numFmtId="4" fontId="51" fillId="13" borderId="34" xfId="3" applyNumberFormat="1" applyFont="1" applyFill="1" applyBorder="1" applyAlignment="1" applyProtection="1">
      <alignment vertical="center"/>
    </xf>
    <xf numFmtId="172" fontId="23" fillId="13" borderId="14" xfId="3" applyNumberFormat="1" applyFont="1" applyFill="1" applyBorder="1" applyAlignment="1" applyProtection="1">
      <alignment horizontal="center" vertical="center"/>
    </xf>
    <xf numFmtId="4" fontId="14" fillId="13" borderId="14" xfId="2" applyNumberFormat="1" applyFont="1" applyFill="1" applyBorder="1" applyAlignment="1">
      <alignment vertical="center"/>
    </xf>
    <xf numFmtId="37" fontId="14" fillId="12" borderId="0" xfId="2" applyFont="1" applyFill="1" applyAlignment="1">
      <alignment horizontal="left" vertical="center"/>
    </xf>
    <xf numFmtId="37" fontId="14" fillId="12" borderId="0" xfId="2" applyFont="1" applyFill="1" applyAlignment="1">
      <alignment vertical="center"/>
    </xf>
    <xf numFmtId="4" fontId="14" fillId="12" borderId="0" xfId="2" applyNumberFormat="1" applyFont="1" applyFill="1" applyAlignment="1">
      <alignment vertical="center"/>
    </xf>
    <xf numFmtId="168" fontId="23" fillId="13" borderId="33" xfId="2" applyNumberFormat="1" applyFont="1" applyFill="1" applyBorder="1" applyAlignment="1">
      <alignment horizontal="center" vertical="center"/>
    </xf>
    <xf numFmtId="168" fontId="14" fillId="13" borderId="33" xfId="2" applyNumberFormat="1" applyFont="1" applyFill="1" applyBorder="1" applyAlignment="1">
      <alignment horizontal="center" vertical="center"/>
    </xf>
    <xf numFmtId="1" fontId="23" fillId="13" borderId="14" xfId="0" applyNumberFormat="1" applyFont="1" applyFill="1" applyBorder="1" applyAlignment="1">
      <alignment horizontal="center" vertical="center"/>
    </xf>
    <xf numFmtId="168" fontId="14" fillId="13" borderId="34" xfId="2" applyNumberFormat="1" applyFont="1" applyFill="1" applyBorder="1" applyAlignment="1">
      <alignment horizontal="center" vertical="center"/>
    </xf>
    <xf numFmtId="4" fontId="14" fillId="2" borderId="14" xfId="2" applyNumberFormat="1" applyFont="1" applyFill="1" applyBorder="1" applyAlignment="1">
      <alignment vertical="center"/>
    </xf>
    <xf numFmtId="1" fontId="23" fillId="0" borderId="14" xfId="0" applyNumberFormat="1" applyFont="1" applyBorder="1" applyAlignment="1">
      <alignment horizontal="center" vertical="center"/>
    </xf>
    <xf numFmtId="168" fontId="23" fillId="0" borderId="33" xfId="2" quotePrefix="1" applyNumberFormat="1" applyFont="1" applyBorder="1" applyAlignment="1">
      <alignment horizontal="center" vertical="center"/>
    </xf>
    <xf numFmtId="168" fontId="14" fillId="0" borderId="33" xfId="2" quotePrefix="1" applyNumberFormat="1" applyFont="1" applyBorder="1" applyAlignment="1">
      <alignment horizontal="center" vertical="center"/>
    </xf>
    <xf numFmtId="168" fontId="14" fillId="0" borderId="34" xfId="2" applyNumberFormat="1" applyFont="1" applyBorder="1" applyAlignment="1">
      <alignment horizontal="center" vertical="center"/>
    </xf>
    <xf numFmtId="4" fontId="14" fillId="0" borderId="34" xfId="3" applyNumberFormat="1" applyFont="1" applyFill="1" applyBorder="1" applyAlignment="1" applyProtection="1">
      <alignment vertical="center"/>
    </xf>
    <xf numFmtId="172" fontId="14" fillId="0" borderId="14" xfId="3" applyNumberFormat="1" applyFont="1" applyFill="1" applyBorder="1" applyAlignment="1" applyProtection="1">
      <alignment horizontal="center" vertical="center"/>
    </xf>
    <xf numFmtId="37" fontId="14" fillId="2" borderId="0" xfId="2" applyFont="1" applyFill="1" applyAlignment="1">
      <alignment horizontal="left" vertical="center"/>
    </xf>
    <xf numFmtId="168" fontId="23" fillId="0" borderId="33" xfId="2" applyNumberFormat="1" applyFont="1" applyBorder="1" applyAlignment="1">
      <alignment horizontal="center" vertical="center"/>
    </xf>
    <xf numFmtId="168" fontId="14" fillId="0" borderId="33" xfId="2" applyNumberFormat="1" applyFont="1" applyBorder="1" applyAlignment="1">
      <alignment horizontal="center" vertical="center"/>
    </xf>
    <xf numFmtId="168" fontId="14" fillId="0" borderId="14" xfId="2" applyNumberFormat="1" applyFont="1" applyBorder="1" applyAlignment="1">
      <alignment horizontal="center" vertical="center"/>
    </xf>
    <xf numFmtId="4" fontId="14" fillId="0" borderId="33" xfId="3" applyNumberFormat="1" applyFont="1" applyFill="1" applyBorder="1" applyAlignment="1" applyProtection="1">
      <alignment vertical="center"/>
    </xf>
    <xf numFmtId="168" fontId="23" fillId="0" borderId="34" xfId="2" applyNumberFormat="1" applyFont="1" applyBorder="1" applyAlignment="1">
      <alignment horizontal="center" vertical="center"/>
    </xf>
    <xf numFmtId="4" fontId="23" fillId="0" borderId="34" xfId="3" applyNumberFormat="1" applyFont="1" applyFill="1" applyBorder="1" applyAlignment="1" applyProtection="1">
      <alignment vertical="center"/>
    </xf>
    <xf numFmtId="172" fontId="23" fillId="0" borderId="14" xfId="3" applyNumberFormat="1" applyFont="1" applyFill="1" applyBorder="1" applyAlignment="1" applyProtection="1">
      <alignment horizontal="center" vertical="center"/>
    </xf>
    <xf numFmtId="37" fontId="14" fillId="2" borderId="0" xfId="2" applyFont="1" applyFill="1" applyAlignment="1">
      <alignment horizontal="left" vertical="center" wrapText="1"/>
    </xf>
    <xf numFmtId="1" fontId="14" fillId="0" borderId="14" xfId="0" applyNumberFormat="1" applyFont="1" applyBorder="1" applyAlignment="1">
      <alignment horizontal="center" vertical="center"/>
    </xf>
    <xf numFmtId="1" fontId="14" fillId="0" borderId="14" xfId="2" applyNumberFormat="1" applyFont="1" applyBorder="1" applyAlignment="1">
      <alignment horizontal="center" vertical="center"/>
    </xf>
    <xf numFmtId="1" fontId="52" fillId="0" borderId="14" xfId="2" applyNumberFormat="1" applyFont="1" applyBorder="1" applyAlignment="1">
      <alignment horizontal="center" vertical="center"/>
    </xf>
    <xf numFmtId="168" fontId="52" fillId="0" borderId="33" xfId="2" quotePrefix="1" applyNumberFormat="1" applyFont="1" applyBorder="1" applyAlignment="1">
      <alignment horizontal="center" vertical="center"/>
    </xf>
    <xf numFmtId="168" fontId="52" fillId="0" borderId="34" xfId="2" applyNumberFormat="1" applyFont="1" applyBorder="1" applyAlignment="1">
      <alignment horizontal="center" vertical="center"/>
    </xf>
    <xf numFmtId="4" fontId="52" fillId="0" borderId="34" xfId="3" applyNumberFormat="1" applyFont="1" applyFill="1" applyBorder="1" applyAlignment="1" applyProtection="1">
      <alignment vertical="center"/>
    </xf>
    <xf numFmtId="172" fontId="52" fillId="0" borderId="14" xfId="3" applyNumberFormat="1" applyFont="1" applyFill="1" applyBorder="1" applyAlignment="1" applyProtection="1">
      <alignment horizontal="center" vertical="center"/>
    </xf>
    <xf numFmtId="1" fontId="14" fillId="0" borderId="22" xfId="0" applyNumberFormat="1" applyFont="1" applyBorder="1" applyAlignment="1">
      <alignment horizontal="center" vertical="center"/>
    </xf>
    <xf numFmtId="168" fontId="14" fillId="0" borderId="31" xfId="2" quotePrefix="1" applyNumberFormat="1" applyFont="1" applyBorder="1" applyAlignment="1">
      <alignment horizontal="center" vertical="center"/>
    </xf>
    <xf numFmtId="168" fontId="14" fillId="0" borderId="31" xfId="2" applyNumberFormat="1" applyFont="1" applyBorder="1" applyAlignment="1">
      <alignment horizontal="center" vertical="center"/>
    </xf>
    <xf numFmtId="4" fontId="14" fillId="0" borderId="31" xfId="3" applyNumberFormat="1" applyFont="1" applyFill="1" applyBorder="1" applyAlignment="1" applyProtection="1">
      <alignment vertical="center"/>
    </xf>
    <xf numFmtId="172" fontId="14" fillId="0" borderId="32" xfId="3" applyNumberFormat="1" applyFont="1" applyFill="1" applyBorder="1" applyAlignment="1" applyProtection="1">
      <alignment horizontal="center" vertical="center"/>
    </xf>
    <xf numFmtId="4" fontId="14" fillId="14" borderId="0" xfId="2" applyNumberFormat="1" applyFont="1" applyFill="1" applyAlignment="1">
      <alignment vertical="center"/>
    </xf>
    <xf numFmtId="172" fontId="14" fillId="13" borderId="0" xfId="3" applyNumberFormat="1" applyFont="1" applyFill="1" applyBorder="1" applyAlignment="1" applyProtection="1">
      <alignment horizontal="center" vertical="center"/>
    </xf>
    <xf numFmtId="37" fontId="14" fillId="12" borderId="0" xfId="2" applyFont="1" applyFill="1"/>
    <xf numFmtId="37" fontId="5" fillId="12" borderId="0" xfId="2" applyFont="1" applyFill="1"/>
    <xf numFmtId="4" fontId="5" fillId="12" borderId="0" xfId="2" applyNumberFormat="1" applyFont="1" applyFill="1"/>
    <xf numFmtId="37" fontId="29" fillId="0" borderId="16" xfId="2" applyFont="1" applyBorder="1" applyAlignment="1">
      <alignment horizontal="center" vertical="center" wrapText="1"/>
    </xf>
    <xf numFmtId="37" fontId="29" fillId="0" borderId="29" xfId="2" applyFont="1" applyBorder="1" applyAlignment="1">
      <alignment horizontal="center" vertical="center"/>
    </xf>
    <xf numFmtId="37" fontId="29" fillId="0" borderId="29" xfId="2" applyFont="1" applyBorder="1" applyAlignment="1">
      <alignment horizontal="left" vertical="center"/>
    </xf>
    <xf numFmtId="37" fontId="29" fillId="0" borderId="30" xfId="2" applyFont="1" applyBorder="1" applyAlignment="1">
      <alignment horizontal="left" vertical="center"/>
    </xf>
    <xf numFmtId="4" fontId="29" fillId="0" borderId="0" xfId="2" applyNumberFormat="1" applyFont="1" applyAlignment="1">
      <alignment horizontal="center" vertical="center"/>
    </xf>
    <xf numFmtId="10" fontId="29" fillId="0" borderId="0" xfId="2" applyNumberFormat="1" applyFont="1" applyAlignment="1">
      <alignment horizontal="left" vertical="center"/>
    </xf>
    <xf numFmtId="37" fontId="7" fillId="0" borderId="18" xfId="4" applyFont="1" applyBorder="1" applyAlignment="1">
      <alignment vertical="center"/>
    </xf>
    <xf numFmtId="37" fontId="7" fillId="0" borderId="0" xfId="4" applyFont="1" applyAlignment="1">
      <alignment vertical="center"/>
    </xf>
    <xf numFmtId="37" fontId="29" fillId="0" borderId="20" xfId="4" applyFont="1" applyBorder="1" applyAlignment="1">
      <alignment horizontal="left" vertical="center"/>
    </xf>
    <xf numFmtId="4" fontId="29" fillId="0" borderId="0" xfId="4" applyNumberFormat="1" applyFont="1" applyAlignment="1">
      <alignment horizontal="left" vertical="center"/>
    </xf>
    <xf numFmtId="37" fontId="29" fillId="0" borderId="0" xfId="4" applyFont="1" applyAlignment="1">
      <alignment horizontal="left" vertical="center"/>
    </xf>
    <xf numFmtId="37" fontId="5" fillId="2" borderId="0" xfId="4" applyFont="1" applyFill="1" applyAlignment="1">
      <alignment vertical="center"/>
    </xf>
    <xf numFmtId="14" fontId="29" fillId="0" borderId="18" xfId="4" applyNumberFormat="1" applyFont="1" applyBorder="1" applyAlignment="1">
      <alignment horizontal="left" vertical="center"/>
    </xf>
    <xf numFmtId="37" fontId="29" fillId="0" borderId="0" xfId="4" applyFont="1" applyAlignment="1">
      <alignment vertical="center"/>
    </xf>
    <xf numFmtId="37" fontId="29" fillId="0" borderId="20" xfId="4" applyFont="1" applyBorder="1" applyAlignment="1">
      <alignment horizontal="center" vertical="center"/>
    </xf>
    <xf numFmtId="4" fontId="29" fillId="0" borderId="0" xfId="4" applyNumberFormat="1" applyFont="1" applyAlignment="1">
      <alignment horizontal="center" vertical="center"/>
    </xf>
    <xf numFmtId="37" fontId="29" fillId="0" borderId="0" xfId="4" applyFont="1" applyAlignment="1">
      <alignment horizontal="center" vertical="center"/>
    </xf>
    <xf numFmtId="37" fontId="29" fillId="0" borderId="18" xfId="2" applyFont="1" applyBorder="1" applyAlignment="1">
      <alignment vertical="center"/>
    </xf>
    <xf numFmtId="37" fontId="29" fillId="0" borderId="0" xfId="2" applyFont="1" applyAlignment="1">
      <alignment vertical="center"/>
    </xf>
    <xf numFmtId="37" fontId="29" fillId="0" borderId="0" xfId="2" applyFont="1" applyAlignment="1">
      <alignment horizontal="center" vertical="center"/>
    </xf>
    <xf numFmtId="4" fontId="53" fillId="0" borderId="0" xfId="2" applyNumberFormat="1" applyFont="1" applyAlignment="1">
      <alignment horizontal="center" vertical="center"/>
    </xf>
    <xf numFmtId="37" fontId="53" fillId="0" borderId="0" xfId="2" applyFont="1" applyAlignment="1">
      <alignment horizontal="center" vertical="center"/>
    </xf>
    <xf numFmtId="37" fontId="14" fillId="0" borderId="0" xfId="2" applyFont="1" applyAlignment="1">
      <alignment vertical="center"/>
    </xf>
    <xf numFmtId="4" fontId="14" fillId="0" borderId="0" xfId="2" applyNumberFormat="1" applyFont="1" applyAlignment="1">
      <alignment vertical="center"/>
    </xf>
    <xf numFmtId="37" fontId="14" fillId="0" borderId="0" xfId="2" applyFont="1" applyAlignment="1">
      <alignment horizontal="left" vertical="top"/>
    </xf>
    <xf numFmtId="37" fontId="14" fillId="0" borderId="0" xfId="2" applyFont="1"/>
    <xf numFmtId="37" fontId="14" fillId="0" borderId="0" xfId="2" applyFont="1" applyAlignment="1">
      <alignment horizontal="center"/>
    </xf>
    <xf numFmtId="4" fontId="14" fillId="0" borderId="0" xfId="2" applyNumberFormat="1" applyFont="1" applyAlignment="1">
      <alignment horizontal="center"/>
    </xf>
    <xf numFmtId="37" fontId="14" fillId="0" borderId="0" xfId="2" applyFont="1" applyAlignment="1">
      <alignment horizontal="left"/>
    </xf>
    <xf numFmtId="179" fontId="7" fillId="0" borderId="0" xfId="2" applyNumberFormat="1" applyFont="1" applyAlignment="1">
      <alignment horizontal="left" vertical="center"/>
    </xf>
    <xf numFmtId="37" fontId="23" fillId="0" borderId="16" xfId="2" applyFont="1" applyBorder="1" applyAlignment="1">
      <alignment vertical="top"/>
    </xf>
    <xf numFmtId="37" fontId="23" fillId="0" borderId="29" xfId="2" applyFont="1" applyBorder="1" applyAlignment="1">
      <alignment vertical="top"/>
    </xf>
    <xf numFmtId="37" fontId="23" fillId="0" borderId="30" xfId="2" applyFont="1" applyBorder="1" applyAlignment="1">
      <alignment horizontal="center" vertical="top"/>
    </xf>
    <xf numFmtId="4" fontId="23" fillId="0" borderId="0" xfId="2" applyNumberFormat="1" applyFont="1" applyAlignment="1">
      <alignment horizontal="center" vertical="top"/>
    </xf>
    <xf numFmtId="10" fontId="23" fillId="0" borderId="0" xfId="2" applyNumberFormat="1" applyFont="1" applyAlignment="1">
      <alignment horizontal="center" vertical="top"/>
    </xf>
    <xf numFmtId="37" fontId="23" fillId="0" borderId="18" xfId="2" applyFont="1" applyBorder="1" applyAlignment="1">
      <alignment vertical="top"/>
    </xf>
    <xf numFmtId="37" fontId="23" fillId="0" borderId="0" xfId="2" applyFont="1" applyAlignment="1">
      <alignment vertical="top"/>
    </xf>
    <xf numFmtId="37" fontId="23" fillId="0" borderId="20" xfId="2" applyFont="1" applyBorder="1" applyAlignment="1">
      <alignment horizontal="center" vertical="top"/>
    </xf>
    <xf numFmtId="4" fontId="23" fillId="0" borderId="0" xfId="2" applyNumberFormat="1" applyFont="1" applyAlignment="1">
      <alignment horizontal="center" vertical="center"/>
    </xf>
    <xf numFmtId="10" fontId="23" fillId="0" borderId="0" xfId="2" applyNumberFormat="1" applyFont="1" applyAlignment="1">
      <alignment horizontal="center" vertical="center"/>
    </xf>
    <xf numFmtId="4" fontId="23" fillId="0" borderId="0" xfId="2" applyNumberFormat="1" applyFont="1" applyAlignment="1">
      <alignment horizontal="center" vertical="center" wrapText="1"/>
    </xf>
    <xf numFmtId="10" fontId="23" fillId="0" borderId="0" xfId="2" applyNumberFormat="1" applyFont="1" applyAlignment="1">
      <alignment horizontal="center" vertical="center" wrapText="1"/>
    </xf>
    <xf numFmtId="4" fontId="23" fillId="0" borderId="9" xfId="2" applyNumberFormat="1" applyFont="1" applyBorder="1" applyAlignment="1">
      <alignment horizontal="center" vertical="center" wrapText="1"/>
    </xf>
    <xf numFmtId="10" fontId="23" fillId="0" borderId="9" xfId="2" applyNumberFormat="1" applyFont="1" applyBorder="1" applyAlignment="1">
      <alignment horizontal="center" vertical="center" wrapText="1"/>
    </xf>
    <xf numFmtId="37" fontId="23" fillId="0" borderId="22" xfId="2" applyFont="1" applyBorder="1" applyAlignment="1">
      <alignment horizontal="center" vertical="top" wrapText="1"/>
    </xf>
    <xf numFmtId="37" fontId="23" fillId="0" borderId="32" xfId="2" applyFont="1" applyBorder="1" applyAlignment="1">
      <alignment horizontal="center" vertical="top" wrapText="1"/>
    </xf>
    <xf numFmtId="37" fontId="23" fillId="0" borderId="11" xfId="2" applyFont="1" applyBorder="1" applyAlignment="1">
      <alignment horizontal="center" vertical="top" wrapText="1"/>
    </xf>
    <xf numFmtId="4" fontId="23" fillId="0" borderId="11" xfId="2" applyNumberFormat="1" applyFont="1" applyBorder="1" applyAlignment="1">
      <alignment horizontal="center" vertical="center" wrapText="1"/>
    </xf>
    <xf numFmtId="10" fontId="23" fillId="0" borderId="11" xfId="2" applyNumberFormat="1" applyFont="1" applyBorder="1" applyAlignment="1">
      <alignment horizontal="center" vertical="center" wrapText="1"/>
    </xf>
    <xf numFmtId="4" fontId="27" fillId="0" borderId="0" xfId="3" applyNumberFormat="1" applyFont="1" applyFill="1" applyBorder="1" applyAlignment="1" applyProtection="1">
      <alignment vertical="center"/>
    </xf>
    <xf numFmtId="172" fontId="23" fillId="0" borderId="20" xfId="3" applyNumberFormat="1" applyFont="1" applyFill="1" applyBorder="1" applyAlignment="1" applyProtection="1">
      <alignment horizontal="center" vertical="center"/>
    </xf>
    <xf numFmtId="4" fontId="23" fillId="0" borderId="0" xfId="3" applyNumberFormat="1" applyFont="1" applyFill="1" applyBorder="1" applyAlignment="1" applyProtection="1">
      <alignment horizontal="center" vertical="center"/>
    </xf>
    <xf numFmtId="10" fontId="23" fillId="0" borderId="0" xfId="3" applyNumberFormat="1" applyFont="1" applyFill="1" applyBorder="1" applyAlignment="1" applyProtection="1">
      <alignment horizontal="center" vertical="center"/>
    </xf>
    <xf numFmtId="37" fontId="28" fillId="0" borderId="18" xfId="2" applyFont="1" applyBorder="1" applyAlignment="1">
      <alignment vertical="center"/>
    </xf>
    <xf numFmtId="37" fontId="28" fillId="0" borderId="0" xfId="2" applyFont="1" applyAlignment="1">
      <alignment horizontal="left" vertical="center" wrapText="1" indent="1"/>
    </xf>
    <xf numFmtId="4" fontId="28" fillId="0" borderId="0" xfId="3" applyNumberFormat="1" applyFont="1" applyFill="1" applyBorder="1" applyAlignment="1" applyProtection="1">
      <alignment vertical="center"/>
    </xf>
    <xf numFmtId="1" fontId="23" fillId="14" borderId="14" xfId="0" applyNumberFormat="1" applyFont="1" applyFill="1" applyBorder="1" applyAlignment="1">
      <alignment horizontal="center" vertical="center"/>
    </xf>
    <xf numFmtId="168" fontId="23" fillId="14" borderId="33" xfId="2" applyNumberFormat="1" applyFont="1" applyFill="1" applyBorder="1" applyAlignment="1">
      <alignment horizontal="center" vertical="center"/>
    </xf>
    <xf numFmtId="168" fontId="23" fillId="14" borderId="33" xfId="2" quotePrefix="1" applyNumberFormat="1" applyFont="1" applyFill="1" applyBorder="1" applyAlignment="1">
      <alignment horizontal="center" vertical="center"/>
    </xf>
    <xf numFmtId="168" fontId="14" fillId="14" borderId="34" xfId="2" applyNumberFormat="1" applyFont="1" applyFill="1" applyBorder="1" applyAlignment="1">
      <alignment horizontal="center" vertical="center"/>
    </xf>
    <xf numFmtId="4" fontId="23" fillId="14" borderId="34" xfId="3" applyNumberFormat="1" applyFont="1" applyFill="1" applyBorder="1" applyAlignment="1" applyProtection="1">
      <alignment vertical="center"/>
    </xf>
    <xf numFmtId="180" fontId="23" fillId="14" borderId="14" xfId="3" applyNumberFormat="1" applyFont="1" applyFill="1" applyBorder="1" applyAlignment="1" applyProtection="1">
      <alignment horizontal="center" vertical="center"/>
    </xf>
    <xf numFmtId="4" fontId="23" fillId="14" borderId="14" xfId="3" applyNumberFormat="1" applyFont="1" applyFill="1" applyBorder="1" applyAlignment="1" applyProtection="1">
      <alignment horizontal="center" vertical="center"/>
    </xf>
    <xf numFmtId="10" fontId="23" fillId="14" borderId="14" xfId="3" applyNumberFormat="1" applyFont="1" applyFill="1" applyBorder="1" applyAlignment="1" applyProtection="1">
      <alignment horizontal="center" vertical="center"/>
    </xf>
    <xf numFmtId="37" fontId="14" fillId="2" borderId="14" xfId="2" applyFont="1" applyFill="1" applyBorder="1" applyAlignment="1">
      <alignment horizontal="left" vertical="center"/>
    </xf>
    <xf numFmtId="10" fontId="14" fillId="0" borderId="14" xfId="3" applyNumberFormat="1" applyFont="1" applyFill="1" applyBorder="1" applyAlignment="1" applyProtection="1">
      <alignment horizontal="center" vertical="center"/>
    </xf>
    <xf numFmtId="4" fontId="14" fillId="0" borderId="14" xfId="3" applyNumberFormat="1" applyFont="1" applyFill="1" applyBorder="1" applyAlignment="1" applyProtection="1">
      <alignment horizontal="center" vertical="center"/>
    </xf>
    <xf numFmtId="1" fontId="23" fillId="0" borderId="34" xfId="2" applyNumberFormat="1" applyFont="1" applyBorder="1" applyAlignment="1">
      <alignment horizontal="center" vertical="center"/>
    </xf>
    <xf numFmtId="168" fontId="23" fillId="0" borderId="22" xfId="2" quotePrefix="1" applyNumberFormat="1" applyFont="1" applyBorder="1" applyAlignment="1">
      <alignment horizontal="center" vertical="center"/>
    </xf>
    <xf numFmtId="168" fontId="23" fillId="0" borderId="35" xfId="2" quotePrefix="1" applyNumberFormat="1" applyFont="1" applyBorder="1" applyAlignment="1">
      <alignment horizontal="center" vertical="center"/>
    </xf>
    <xf numFmtId="168" fontId="23" fillId="0" borderId="35" xfId="2" applyNumberFormat="1" applyFont="1" applyBorder="1" applyAlignment="1">
      <alignment horizontal="center" vertical="center"/>
    </xf>
    <xf numFmtId="180" fontId="14" fillId="0" borderId="14" xfId="3" quotePrefix="1" applyNumberFormat="1" applyFont="1" applyFill="1" applyBorder="1" applyAlignment="1" applyProtection="1">
      <alignment horizontal="center" vertical="center"/>
    </xf>
    <xf numFmtId="10" fontId="14" fillId="0" borderId="14" xfId="3" quotePrefix="1" applyNumberFormat="1" applyFont="1" applyFill="1" applyBorder="1" applyAlignment="1" applyProtection="1">
      <alignment horizontal="center" vertical="center"/>
    </xf>
    <xf numFmtId="4" fontId="14" fillId="0" borderId="14" xfId="3" quotePrefix="1" applyNumberFormat="1" applyFont="1" applyFill="1" applyBorder="1" applyAlignment="1" applyProtection="1">
      <alignment horizontal="center" vertical="center"/>
    </xf>
    <xf numFmtId="37" fontId="14" fillId="2" borderId="14" xfId="2" applyFont="1" applyFill="1" applyBorder="1" applyAlignment="1">
      <alignment vertical="center"/>
    </xf>
    <xf numFmtId="10" fontId="52" fillId="0" borderId="14" xfId="3" applyNumberFormat="1" applyFont="1" applyFill="1" applyBorder="1" applyAlignment="1" applyProtection="1">
      <alignment horizontal="center" vertical="center"/>
    </xf>
    <xf numFmtId="4" fontId="52" fillId="0" borderId="14" xfId="3" applyNumberFormat="1" applyFont="1" applyFill="1" applyBorder="1" applyAlignment="1" applyProtection="1">
      <alignment horizontal="center" vertical="center"/>
    </xf>
    <xf numFmtId="1" fontId="27" fillId="0" borderId="18" xfId="0" applyNumberFormat="1" applyFont="1" applyBorder="1" applyAlignment="1">
      <alignment horizontal="left" vertical="center"/>
    </xf>
    <xf numFmtId="168" fontId="23" fillId="0" borderId="0" xfId="2" quotePrefix="1" applyNumberFormat="1" applyFont="1" applyAlignment="1">
      <alignment horizontal="center" vertical="center"/>
    </xf>
    <xf numFmtId="173" fontId="14" fillId="0" borderId="0" xfId="3" applyNumberFormat="1" applyFont="1" applyFill="1" applyBorder="1" applyAlignment="1" applyProtection="1">
      <alignment horizontal="center" vertical="center"/>
    </xf>
    <xf numFmtId="1" fontId="23" fillId="0" borderId="14" xfId="2" applyNumberFormat="1" applyFont="1" applyBorder="1" applyAlignment="1">
      <alignment horizontal="center" vertical="center"/>
    </xf>
    <xf numFmtId="37" fontId="14" fillId="15" borderId="0" xfId="2" applyFont="1" applyFill="1" applyAlignment="1">
      <alignment vertical="center"/>
    </xf>
    <xf numFmtId="37" fontId="14" fillId="15" borderId="14" xfId="2" applyFont="1" applyFill="1" applyBorder="1" applyAlignment="1">
      <alignment vertical="center"/>
    </xf>
    <xf numFmtId="37" fontId="5" fillId="15" borderId="0" xfId="2" applyFont="1" applyFill="1" applyAlignment="1">
      <alignment vertical="center"/>
    </xf>
    <xf numFmtId="4" fontId="5" fillId="15" borderId="0" xfId="2" applyNumberFormat="1" applyFont="1" applyFill="1" applyAlignment="1">
      <alignment vertical="center"/>
    </xf>
    <xf numFmtId="168" fontId="23" fillId="0" borderId="14" xfId="2" applyNumberFormat="1" applyFont="1" applyBorder="1" applyAlignment="1">
      <alignment horizontal="center" vertical="center"/>
    </xf>
    <xf numFmtId="1" fontId="14" fillId="2" borderId="14" xfId="2" applyNumberFormat="1" applyFont="1" applyFill="1" applyBorder="1" applyAlignment="1">
      <alignment horizontal="left" vertical="center"/>
    </xf>
    <xf numFmtId="1" fontId="14" fillId="2" borderId="0" xfId="2" applyNumberFormat="1" applyFont="1" applyFill="1" applyAlignment="1">
      <alignment horizontal="left" vertical="center"/>
    </xf>
    <xf numFmtId="37" fontId="26" fillId="2" borderId="0" xfId="2" applyFont="1" applyFill="1" applyAlignment="1">
      <alignment vertical="center"/>
    </xf>
    <xf numFmtId="37" fontId="14" fillId="2" borderId="0" xfId="2" applyFont="1" applyFill="1" applyAlignment="1">
      <alignment vertical="top"/>
    </xf>
    <xf numFmtId="4" fontId="23" fillId="0" borderId="14" xfId="3" applyNumberFormat="1" applyFont="1" applyFill="1" applyBorder="1" applyAlignment="1" applyProtection="1">
      <alignment vertical="center"/>
    </xf>
    <xf numFmtId="10" fontId="23" fillId="0" borderId="14" xfId="3" applyNumberFormat="1" applyFont="1" applyFill="1" applyBorder="1" applyAlignment="1" applyProtection="1">
      <alignment horizontal="center" vertical="center"/>
    </xf>
    <xf numFmtId="4" fontId="23" fillId="0" borderId="14" xfId="3" applyNumberFormat="1" applyFont="1" applyFill="1" applyBorder="1" applyAlignment="1" applyProtection="1">
      <alignment horizontal="center" vertical="center"/>
    </xf>
    <xf numFmtId="4" fontId="14" fillId="2" borderId="0" xfId="2" applyNumberFormat="1" applyFont="1" applyFill="1" applyAlignment="1">
      <alignment vertical="top"/>
    </xf>
    <xf numFmtId="10" fontId="14" fillId="0" borderId="0" xfId="3" applyNumberFormat="1" applyFont="1" applyFill="1" applyBorder="1" applyAlignment="1" applyProtection="1">
      <alignment horizontal="center" vertical="center"/>
    </xf>
    <xf numFmtId="179" fontId="14" fillId="0" borderId="14" xfId="3" applyNumberFormat="1" applyFont="1" applyFill="1" applyBorder="1" applyAlignment="1" applyProtection="1">
      <alignment horizontal="center" vertical="center"/>
    </xf>
    <xf numFmtId="1" fontId="10" fillId="0" borderId="18" xfId="0" applyNumberFormat="1" applyFont="1" applyBorder="1" applyAlignment="1">
      <alignment horizontal="left" vertical="center"/>
    </xf>
    <xf numFmtId="168" fontId="14" fillId="0" borderId="0" xfId="2" quotePrefix="1" applyNumberFormat="1" applyFont="1" applyAlignment="1">
      <alignment horizontal="center" vertical="center"/>
    </xf>
    <xf numFmtId="0" fontId="0" fillId="0" borderId="18" xfId="0" applyBorder="1"/>
    <xf numFmtId="0" fontId="0" fillId="0" borderId="30" xfId="0" applyBorder="1"/>
    <xf numFmtId="10" fontId="0" fillId="0" borderId="0" xfId="0" applyNumberFormat="1"/>
    <xf numFmtId="0" fontId="0" fillId="0" borderId="20" xfId="0" applyBorder="1"/>
    <xf numFmtId="1" fontId="14" fillId="0" borderId="18" xfId="0" applyNumberFormat="1" applyFont="1" applyBorder="1" applyAlignment="1">
      <alignment horizontal="left" vertical="center"/>
    </xf>
    <xf numFmtId="168" fontId="14" fillId="0" borderId="0" xfId="2" applyNumberFormat="1" applyFont="1" applyAlignment="1">
      <alignment horizontal="center" vertical="center"/>
    </xf>
    <xf numFmtId="4" fontId="14" fillId="0" borderId="0" xfId="3" applyNumberFormat="1" applyFont="1" applyFill="1" applyBorder="1" applyAlignment="1" applyProtection="1">
      <alignment vertical="center"/>
    </xf>
    <xf numFmtId="37" fontId="7" fillId="0" borderId="20" xfId="4" applyFont="1" applyBorder="1" applyAlignment="1">
      <alignment vertical="center"/>
    </xf>
    <xf numFmtId="4" fontId="7" fillId="0" borderId="0" xfId="4" applyNumberFormat="1" applyFont="1" applyAlignment="1">
      <alignment vertical="center"/>
    </xf>
    <xf numFmtId="10" fontId="7" fillId="0" borderId="0" xfId="4" applyNumberFormat="1" applyFont="1" applyAlignment="1">
      <alignment vertical="center"/>
    </xf>
    <xf numFmtId="37" fontId="29" fillId="0" borderId="20" xfId="4" applyFont="1" applyBorder="1" applyAlignment="1">
      <alignment vertical="center"/>
    </xf>
    <xf numFmtId="4" fontId="29" fillId="0" borderId="0" xfId="4" applyNumberFormat="1" applyFont="1" applyAlignment="1">
      <alignment vertical="center"/>
    </xf>
    <xf numFmtId="10" fontId="29" fillId="0" borderId="0" xfId="4" applyNumberFormat="1" applyFont="1" applyAlignment="1">
      <alignment vertical="center"/>
    </xf>
    <xf numFmtId="10" fontId="29" fillId="0" borderId="0" xfId="2" applyNumberFormat="1" applyFont="1" applyAlignment="1">
      <alignment horizontal="center" vertical="center"/>
    </xf>
    <xf numFmtId="10" fontId="14" fillId="0" borderId="0" xfId="2" applyNumberFormat="1" applyFont="1" applyAlignment="1">
      <alignment horizontal="center"/>
    </xf>
    <xf numFmtId="37" fontId="23" fillId="0" borderId="0" xfId="2" applyFont="1" applyAlignment="1">
      <alignment horizontal="center" vertical="center"/>
    </xf>
    <xf numFmtId="37" fontId="23" fillId="0" borderId="0" xfId="2" applyFont="1" applyAlignment="1">
      <alignment horizontal="center" vertical="center" wrapText="1"/>
    </xf>
    <xf numFmtId="37" fontId="14" fillId="0" borderId="16" xfId="2" applyFont="1" applyBorder="1" applyAlignment="1">
      <alignment vertical="top"/>
    </xf>
    <xf numFmtId="37" fontId="14" fillId="0" borderId="29" xfId="2" applyFont="1" applyBorder="1" applyAlignment="1">
      <alignment vertical="top"/>
    </xf>
    <xf numFmtId="37" fontId="26" fillId="0" borderId="18" xfId="2" applyFont="1" applyBorder="1" applyAlignment="1">
      <alignment horizontal="center" vertical="center"/>
    </xf>
    <xf numFmtId="3" fontId="14" fillId="2" borderId="0" xfId="2" applyNumberFormat="1" applyFont="1" applyFill="1" applyAlignment="1">
      <alignment horizontal="center" vertical="center"/>
    </xf>
    <xf numFmtId="3" fontId="5" fillId="2" borderId="0" xfId="2" applyNumberFormat="1" applyFont="1" applyFill="1" applyAlignment="1">
      <alignment horizontal="center" vertical="center"/>
    </xf>
    <xf numFmtId="37" fontId="26" fillId="0" borderId="18" xfId="2" applyFont="1" applyBorder="1" applyAlignment="1">
      <alignment vertical="center"/>
    </xf>
    <xf numFmtId="37" fontId="54" fillId="2" borderId="0" xfId="2" applyFont="1" applyFill="1" applyAlignment="1">
      <alignment vertical="center"/>
    </xf>
    <xf numFmtId="1" fontId="55" fillId="16" borderId="34" xfId="0" applyNumberFormat="1" applyFont="1" applyFill="1" applyBorder="1" applyAlignment="1">
      <alignment horizontal="center" vertical="center"/>
    </xf>
    <xf numFmtId="168" fontId="14" fillId="16" borderId="34" xfId="2" applyNumberFormat="1" applyFont="1" applyFill="1" applyBorder="1" applyAlignment="1">
      <alignment horizontal="center" vertical="center"/>
    </xf>
    <xf numFmtId="168" fontId="14" fillId="16" borderId="35" xfId="2" applyNumberFormat="1" applyFont="1" applyFill="1" applyBorder="1" applyAlignment="1">
      <alignment horizontal="center" vertical="center"/>
    </xf>
    <xf numFmtId="4" fontId="51" fillId="16" borderId="34" xfId="3" applyNumberFormat="1" applyFont="1" applyFill="1" applyBorder="1" applyAlignment="1" applyProtection="1">
      <alignment vertical="center"/>
    </xf>
    <xf numFmtId="180" fontId="14" fillId="16" borderId="14" xfId="3" quotePrefix="1" applyNumberFormat="1" applyFont="1" applyFill="1" applyBorder="1" applyAlignment="1" applyProtection="1">
      <alignment horizontal="center" vertical="center"/>
    </xf>
    <xf numFmtId="37" fontId="53" fillId="2" borderId="14" xfId="2" applyFont="1" applyFill="1" applyBorder="1" applyAlignment="1">
      <alignment horizontal="left" vertical="center"/>
    </xf>
    <xf numFmtId="1" fontId="14" fillId="16" borderId="14" xfId="0" applyNumberFormat="1" applyFont="1" applyFill="1" applyBorder="1" applyAlignment="1">
      <alignment horizontal="center" vertical="center"/>
    </xf>
    <xf numFmtId="4" fontId="14" fillId="16" borderId="34" xfId="3" applyNumberFormat="1" applyFont="1" applyFill="1" applyBorder="1" applyAlignment="1" applyProtection="1">
      <alignment vertical="center"/>
    </xf>
    <xf numFmtId="172" fontId="14" fillId="16" borderId="14" xfId="3" applyNumberFormat="1" applyFont="1" applyFill="1" applyBorder="1" applyAlignment="1" applyProtection="1">
      <alignment horizontal="center" vertical="center"/>
    </xf>
    <xf numFmtId="1" fontId="23" fillId="16" borderId="14" xfId="0" applyNumberFormat="1" applyFont="1" applyFill="1" applyBorder="1" applyAlignment="1">
      <alignment horizontal="center" vertical="center"/>
    </xf>
    <xf numFmtId="4" fontId="56" fillId="16" borderId="34" xfId="3" applyNumberFormat="1" applyFont="1" applyFill="1" applyBorder="1" applyAlignment="1" applyProtection="1">
      <alignment vertical="center"/>
    </xf>
    <xf numFmtId="172" fontId="23" fillId="16" borderId="14" xfId="3" applyNumberFormat="1" applyFont="1" applyFill="1" applyBorder="1" applyAlignment="1" applyProtection="1">
      <alignment horizontal="center" vertical="center"/>
    </xf>
    <xf numFmtId="1" fontId="57" fillId="16" borderId="14" xfId="0" applyNumberFormat="1" applyFont="1" applyFill="1" applyBorder="1" applyAlignment="1">
      <alignment horizontal="center" vertical="center"/>
    </xf>
    <xf numFmtId="4" fontId="23" fillId="16" borderId="34" xfId="3" applyNumberFormat="1" applyFont="1" applyFill="1" applyBorder="1" applyAlignment="1" applyProtection="1">
      <alignment vertical="center"/>
    </xf>
    <xf numFmtId="37" fontId="58" fillId="0" borderId="18" xfId="4" applyFont="1" applyBorder="1" applyAlignment="1">
      <alignment vertical="center"/>
    </xf>
    <xf numFmtId="37" fontId="58" fillId="0" borderId="0" xfId="4" applyFont="1" applyAlignment="1">
      <alignment vertical="center"/>
    </xf>
    <xf numFmtId="37" fontId="58" fillId="0" borderId="20" xfId="4" applyFont="1" applyBorder="1" applyAlignment="1">
      <alignment vertical="center"/>
    </xf>
    <xf numFmtId="14" fontId="59" fillId="0" borderId="18" xfId="4" applyNumberFormat="1" applyFont="1" applyBorder="1" applyAlignment="1">
      <alignment horizontal="left" vertical="center"/>
    </xf>
    <xf numFmtId="37" fontId="59" fillId="0" borderId="0" xfId="4" applyFont="1" applyAlignment="1">
      <alignment vertical="center"/>
    </xf>
    <xf numFmtId="37" fontId="59" fillId="0" borderId="20" xfId="4" applyFont="1" applyBorder="1" applyAlignment="1">
      <alignment vertical="center"/>
    </xf>
    <xf numFmtId="37" fontId="5" fillId="0" borderId="18" xfId="2" applyFont="1" applyBorder="1"/>
    <xf numFmtId="37" fontId="53" fillId="0" borderId="0" xfId="2" applyFont="1" applyAlignment="1">
      <alignment vertical="center"/>
    </xf>
    <xf numFmtId="37" fontId="5" fillId="0" borderId="0" xfId="2" applyFont="1"/>
    <xf numFmtId="37" fontId="29" fillId="0" borderId="22" xfId="2" applyFont="1" applyBorder="1" applyAlignment="1">
      <alignment vertical="center"/>
    </xf>
    <xf numFmtId="37" fontId="29" fillId="0" borderId="31" xfId="2" applyFont="1" applyBorder="1" applyAlignment="1">
      <alignment vertical="center"/>
    </xf>
    <xf numFmtId="37" fontId="29" fillId="0" borderId="32" xfId="2" applyFont="1" applyBorder="1" applyAlignment="1">
      <alignment vertical="center"/>
    </xf>
    <xf numFmtId="37" fontId="14" fillId="12" borderId="0" xfId="2" applyFont="1" applyFill="1" applyAlignment="1">
      <alignment vertical="top"/>
    </xf>
    <xf numFmtId="1" fontId="22" fillId="0" borderId="14" xfId="0" applyNumberFormat="1" applyFont="1" applyBorder="1" applyAlignment="1">
      <alignment horizontal="center" vertical="center"/>
    </xf>
    <xf numFmtId="4" fontId="14" fillId="12" borderId="0" xfId="2" applyNumberFormat="1" applyFont="1" applyFill="1" applyAlignment="1">
      <alignment vertical="top"/>
    </xf>
    <xf numFmtId="179" fontId="14" fillId="0" borderId="14" xfId="3" quotePrefix="1" applyNumberFormat="1" applyFont="1" applyFill="1" applyBorder="1" applyAlignment="1" applyProtection="1">
      <alignment horizontal="center" vertical="center"/>
    </xf>
    <xf numFmtId="4" fontId="23" fillId="0" borderId="9" xfId="0" applyNumberFormat="1" applyFont="1" applyBorder="1" applyAlignment="1">
      <alignment vertical="center"/>
    </xf>
    <xf numFmtId="4" fontId="5" fillId="0" borderId="9" xfId="0" applyNumberFormat="1" applyFont="1" applyBorder="1" applyAlignment="1">
      <alignment vertical="center"/>
    </xf>
    <xf numFmtId="4" fontId="9" fillId="0" borderId="9" xfId="0" applyNumberFormat="1" applyFont="1" applyBorder="1" applyAlignment="1">
      <alignment vertical="center"/>
    </xf>
    <xf numFmtId="4" fontId="16" fillId="0" borderId="9" xfId="0" applyNumberFormat="1" applyFont="1" applyBorder="1" applyAlignment="1">
      <alignment vertical="center"/>
    </xf>
    <xf numFmtId="4" fontId="10" fillId="0" borderId="0" xfId="0" applyNumberFormat="1" applyFont="1" applyAlignment="1">
      <alignment vertical="center"/>
    </xf>
    <xf numFmtId="1" fontId="10" fillId="0" borderId="18" xfId="2" applyNumberFormat="1" applyFont="1" applyBorder="1" applyAlignment="1">
      <alignment horizontal="left" vertical="center" indent="2"/>
    </xf>
    <xf numFmtId="37" fontId="14" fillId="2" borderId="0" xfId="2" applyFont="1" applyFill="1" applyAlignment="1">
      <alignment vertical="center" wrapText="1"/>
    </xf>
    <xf numFmtId="1" fontId="26" fillId="0" borderId="18" xfId="2" applyNumberFormat="1" applyFont="1" applyBorder="1" applyAlignment="1">
      <alignment horizontal="left" vertical="center" indent="2"/>
    </xf>
    <xf numFmtId="179" fontId="16" fillId="14" borderId="14" xfId="3" applyNumberFormat="1" applyFont="1" applyFill="1" applyBorder="1" applyAlignment="1" applyProtection="1">
      <alignment horizontal="center" vertical="center"/>
    </xf>
    <xf numFmtId="1" fontId="23" fillId="12" borderId="14" xfId="0" applyNumberFormat="1" applyFont="1" applyFill="1" applyBorder="1" applyAlignment="1">
      <alignment horizontal="center" vertical="center"/>
    </xf>
    <xf numFmtId="168" fontId="23" fillId="12" borderId="33" xfId="2" applyNumberFormat="1" applyFont="1" applyFill="1" applyBorder="1" applyAlignment="1">
      <alignment horizontal="center" vertical="center"/>
    </xf>
    <xf numFmtId="168" fontId="23" fillId="12" borderId="33" xfId="2" quotePrefix="1" applyNumberFormat="1" applyFont="1" applyFill="1" applyBorder="1" applyAlignment="1">
      <alignment horizontal="center" vertical="center"/>
    </xf>
    <xf numFmtId="168" fontId="14" fillId="12" borderId="34" xfId="2" applyNumberFormat="1" applyFont="1" applyFill="1" applyBorder="1" applyAlignment="1">
      <alignment horizontal="center" vertical="center"/>
    </xf>
    <xf numFmtId="4" fontId="23" fillId="12" borderId="34" xfId="3" applyNumberFormat="1" applyFont="1" applyFill="1" applyBorder="1" applyAlignment="1" applyProtection="1">
      <alignment vertical="center"/>
    </xf>
    <xf numFmtId="180" fontId="23" fillId="12" borderId="14" xfId="3" applyNumberFormat="1" applyFont="1" applyFill="1" applyBorder="1" applyAlignment="1" applyProtection="1">
      <alignment horizontal="center" vertical="center"/>
    </xf>
    <xf numFmtId="4" fontId="23" fillId="12" borderId="14" xfId="3" applyNumberFormat="1" applyFont="1" applyFill="1" applyBorder="1" applyAlignment="1" applyProtection="1">
      <alignment horizontal="center" vertical="center"/>
    </xf>
    <xf numFmtId="43" fontId="5" fillId="2" borderId="0" xfId="5" applyFont="1" applyFill="1" applyBorder="1" applyAlignment="1">
      <alignment vertical="center"/>
    </xf>
    <xf numFmtId="1" fontId="26" fillId="0" borderId="34" xfId="0" applyNumberFormat="1" applyFont="1" applyBorder="1" applyAlignment="1">
      <alignment horizontal="left" vertical="center"/>
    </xf>
    <xf numFmtId="4" fontId="26" fillId="0" borderId="33" xfId="3" applyNumberFormat="1" applyFont="1" applyFill="1" applyBorder="1" applyAlignment="1" applyProtection="1">
      <alignment vertical="center"/>
    </xf>
    <xf numFmtId="172" fontId="14" fillId="0" borderId="35" xfId="3" applyNumberFormat="1" applyFont="1" applyFill="1" applyBorder="1" applyAlignment="1" applyProtection="1">
      <alignment horizontal="center" vertical="center"/>
    </xf>
    <xf numFmtId="173" fontId="14" fillId="0" borderId="14" xfId="3" applyNumberFormat="1" applyFont="1" applyFill="1" applyBorder="1" applyAlignment="1" applyProtection="1">
      <alignment horizontal="center" vertical="center"/>
    </xf>
    <xf numFmtId="4" fontId="5" fillId="12" borderId="0" xfId="2" applyNumberFormat="1" applyFont="1" applyFill="1" applyAlignment="1">
      <alignment vertical="center"/>
    </xf>
    <xf numFmtId="37" fontId="14" fillId="12" borderId="0" xfId="2" applyFont="1" applyFill="1" applyAlignment="1">
      <alignment horizontal="center" vertical="top"/>
    </xf>
    <xf numFmtId="1" fontId="23" fillId="0" borderId="36" xfId="2" applyNumberFormat="1" applyFont="1" applyBorder="1" applyAlignment="1">
      <alignment horizontal="center" vertical="center" wrapText="1"/>
    </xf>
    <xf numFmtId="168" fontId="23" fillId="0" borderId="34" xfId="2" quotePrefix="1" applyNumberFormat="1" applyFont="1" applyBorder="1" applyAlignment="1">
      <alignment horizontal="center" vertical="center"/>
    </xf>
    <xf numFmtId="37" fontId="14" fillId="15" borderId="0" xfId="2" applyFont="1" applyFill="1" applyAlignment="1">
      <alignment horizontal="left" vertical="center"/>
    </xf>
    <xf numFmtId="37" fontId="14" fillId="17" borderId="0" xfId="2" applyFont="1" applyFill="1" applyAlignment="1">
      <alignment vertical="top"/>
    </xf>
    <xf numFmtId="37" fontId="14" fillId="17" borderId="0" xfId="2" applyFont="1" applyFill="1" applyAlignment="1">
      <alignment horizontal="left" vertical="center"/>
    </xf>
    <xf numFmtId="4" fontId="14" fillId="17" borderId="0" xfId="2" applyNumberFormat="1" applyFont="1" applyFill="1" applyAlignment="1">
      <alignment vertical="top"/>
    </xf>
    <xf numFmtId="37" fontId="14" fillId="15" borderId="0" xfId="2" applyFont="1" applyFill="1" applyAlignment="1">
      <alignment vertical="top"/>
    </xf>
    <xf numFmtId="4" fontId="14" fillId="15" borderId="0" xfId="2" applyNumberFormat="1" applyFont="1" applyFill="1" applyAlignment="1">
      <alignment vertical="top"/>
    </xf>
    <xf numFmtId="1" fontId="23" fillId="16" borderId="14" xfId="2" applyNumberFormat="1" applyFont="1" applyFill="1" applyBorder="1" applyAlignment="1">
      <alignment horizontal="center" vertical="center"/>
    </xf>
    <xf numFmtId="168" fontId="23" fillId="16" borderId="33" xfId="2" quotePrefix="1" applyNumberFormat="1" applyFont="1" applyFill="1" applyBorder="1" applyAlignment="1">
      <alignment horizontal="center" vertical="center"/>
    </xf>
    <xf numFmtId="168" fontId="23" fillId="16" borderId="34" xfId="2" applyNumberFormat="1" applyFont="1" applyFill="1" applyBorder="1" applyAlignment="1">
      <alignment horizontal="center" vertical="center"/>
    </xf>
    <xf numFmtId="4" fontId="23" fillId="16" borderId="14" xfId="3" applyNumberFormat="1" applyFont="1" applyFill="1" applyBorder="1" applyAlignment="1" applyProtection="1">
      <alignment horizontal="center" vertical="center"/>
    </xf>
    <xf numFmtId="37" fontId="29" fillId="2" borderId="14" xfId="2" applyFont="1" applyFill="1" applyBorder="1" applyAlignment="1">
      <alignment vertical="center"/>
    </xf>
    <xf numFmtId="39" fontId="14" fillId="2" borderId="0" xfId="2" applyNumberFormat="1" applyFont="1" applyFill="1" applyAlignment="1">
      <alignment vertical="center"/>
    </xf>
    <xf numFmtId="1" fontId="26" fillId="0" borderId="18" xfId="2" applyNumberFormat="1" applyFont="1" applyBorder="1" applyAlignment="1">
      <alignment vertical="center"/>
    </xf>
    <xf numFmtId="4" fontId="26" fillId="0" borderId="31" xfId="3" applyNumberFormat="1" applyFont="1" applyFill="1" applyBorder="1" applyAlignment="1" applyProtection="1">
      <alignment vertical="center"/>
    </xf>
    <xf numFmtId="168" fontId="14" fillId="0" borderId="35" xfId="2" applyNumberFormat="1" applyFont="1" applyBorder="1" applyAlignment="1">
      <alignment horizontal="center" vertical="center"/>
    </xf>
    <xf numFmtId="1" fontId="10" fillId="0" borderId="18" xfId="2" applyNumberFormat="1" applyFont="1" applyBorder="1" applyAlignment="1">
      <alignment vertical="center"/>
    </xf>
    <xf numFmtId="37" fontId="14" fillId="18" borderId="0" xfId="2" applyFont="1" applyFill="1" applyAlignment="1">
      <alignment vertical="center"/>
    </xf>
    <xf numFmtId="1" fontId="14" fillId="18" borderId="37" xfId="2" applyNumberFormat="1" applyFont="1" applyFill="1" applyBorder="1" applyAlignment="1">
      <alignment horizontal="center" vertical="center"/>
    </xf>
    <xf numFmtId="168" fontId="14" fillId="18" borderId="34" xfId="2" applyNumberFormat="1" applyFont="1" applyFill="1" applyBorder="1" applyAlignment="1">
      <alignment horizontal="center" vertical="center"/>
    </xf>
    <xf numFmtId="168" fontId="14" fillId="18" borderId="35" xfId="2" applyNumberFormat="1" applyFont="1" applyFill="1" applyBorder="1" applyAlignment="1">
      <alignment horizontal="center" vertical="center"/>
    </xf>
    <xf numFmtId="168" fontId="14" fillId="18" borderId="14" xfId="2" applyNumberFormat="1" applyFont="1" applyFill="1" applyBorder="1" applyAlignment="1">
      <alignment horizontal="center" vertical="center"/>
    </xf>
    <xf numFmtId="4" fontId="23" fillId="18" borderId="14" xfId="3" applyNumberFormat="1" applyFont="1" applyFill="1" applyBorder="1" applyAlignment="1" applyProtection="1">
      <alignment vertical="center"/>
    </xf>
    <xf numFmtId="180" fontId="23" fillId="18" borderId="14" xfId="3" applyNumberFormat="1" applyFont="1" applyFill="1" applyBorder="1" applyAlignment="1" applyProtection="1">
      <alignment horizontal="center" vertical="center"/>
    </xf>
    <xf numFmtId="10" fontId="23" fillId="18" borderId="14" xfId="3" applyNumberFormat="1" applyFont="1" applyFill="1" applyBorder="1" applyAlignment="1" applyProtection="1">
      <alignment horizontal="center" vertical="center"/>
    </xf>
    <xf numFmtId="37" fontId="14" fillId="18" borderId="14" xfId="2" applyFont="1" applyFill="1" applyBorder="1" applyAlignment="1">
      <alignment vertical="center"/>
    </xf>
    <xf numFmtId="37" fontId="14" fillId="19" borderId="0" xfId="2" applyFont="1" applyFill="1" applyAlignment="1">
      <alignment vertical="center"/>
    </xf>
    <xf numFmtId="37" fontId="5" fillId="18" borderId="0" xfId="2" applyFont="1" applyFill="1" applyAlignment="1">
      <alignment vertical="center"/>
    </xf>
    <xf numFmtId="4" fontId="5" fillId="18" borderId="0" xfId="2" applyNumberFormat="1" applyFont="1" applyFill="1" applyAlignment="1">
      <alignment vertical="center"/>
    </xf>
    <xf numFmtId="1" fontId="14" fillId="18" borderId="14" xfId="2" applyNumberFormat="1" applyFont="1" applyFill="1" applyBorder="1" applyAlignment="1">
      <alignment horizontal="center" vertical="center"/>
    </xf>
    <xf numFmtId="4" fontId="23" fillId="18" borderId="14" xfId="3" applyNumberFormat="1" applyFont="1" applyFill="1" applyBorder="1" applyAlignment="1" applyProtection="1">
      <alignment horizontal="center" vertical="center"/>
    </xf>
    <xf numFmtId="39" fontId="14" fillId="2" borderId="0" xfId="2" applyNumberFormat="1" applyFont="1" applyFill="1" applyAlignment="1">
      <alignment horizontal="left" vertical="center"/>
    </xf>
    <xf numFmtId="1" fontId="26" fillId="0" borderId="18" xfId="0" applyNumberFormat="1" applyFont="1" applyBorder="1" applyAlignment="1">
      <alignment horizontal="left" vertical="center"/>
    </xf>
    <xf numFmtId="37" fontId="14" fillId="17" borderId="0" xfId="2" applyFont="1" applyFill="1" applyAlignment="1">
      <alignment vertical="center"/>
    </xf>
    <xf numFmtId="37" fontId="5" fillId="17" borderId="0" xfId="2" applyFont="1" applyFill="1" applyAlignment="1">
      <alignment vertical="center"/>
    </xf>
    <xf numFmtId="4" fontId="5" fillId="17" borderId="0" xfId="2" applyNumberFormat="1" applyFont="1" applyFill="1" applyAlignment="1">
      <alignment vertical="center"/>
    </xf>
    <xf numFmtId="1" fontId="23" fillId="0" borderId="14" xfId="2" applyNumberFormat="1" applyFont="1" applyBorder="1" applyAlignment="1">
      <alignment horizontal="center" vertical="center" wrapText="1"/>
    </xf>
    <xf numFmtId="1" fontId="23" fillId="2" borderId="14" xfId="2" applyNumberFormat="1" applyFont="1" applyFill="1" applyBorder="1" applyAlignment="1">
      <alignment horizontal="center" vertical="center"/>
    </xf>
    <xf numFmtId="168" fontId="23" fillId="2" borderId="33" xfId="2" quotePrefix="1" applyNumberFormat="1" applyFont="1" applyFill="1" applyBorder="1" applyAlignment="1">
      <alignment horizontal="center" vertical="center"/>
    </xf>
    <xf numFmtId="168" fontId="23" fillId="2" borderId="33" xfId="2" applyNumberFormat="1" applyFont="1" applyFill="1" applyBorder="1" applyAlignment="1">
      <alignment horizontal="center" vertical="center"/>
    </xf>
    <xf numFmtId="168" fontId="23" fillId="2" borderId="34" xfId="2" applyNumberFormat="1" applyFont="1" applyFill="1" applyBorder="1" applyAlignment="1">
      <alignment horizontal="center" vertical="center"/>
    </xf>
    <xf numFmtId="4" fontId="23" fillId="2" borderId="34" xfId="3" applyNumberFormat="1" applyFont="1" applyFill="1" applyBorder="1" applyAlignment="1" applyProtection="1">
      <alignment vertical="center"/>
    </xf>
    <xf numFmtId="172" fontId="23" fillId="2" borderId="14" xfId="3" applyNumberFormat="1" applyFont="1" applyFill="1" applyBorder="1" applyAlignment="1" applyProtection="1">
      <alignment horizontal="center" vertical="center"/>
    </xf>
    <xf numFmtId="4" fontId="23" fillId="2" borderId="14" xfId="3" applyNumberFormat="1" applyFont="1" applyFill="1" applyBorder="1" applyAlignment="1" applyProtection="1">
      <alignment horizontal="center" vertical="center"/>
    </xf>
    <xf numFmtId="168" fontId="23" fillId="16" borderId="33" xfId="2" applyNumberFormat="1" applyFont="1" applyFill="1" applyBorder="1" applyAlignment="1">
      <alignment horizontal="center" vertical="center"/>
    </xf>
    <xf numFmtId="1" fontId="14" fillId="0" borderId="16" xfId="0" applyNumberFormat="1" applyFont="1" applyBorder="1" applyAlignment="1">
      <alignment horizontal="left" vertical="center"/>
    </xf>
    <xf numFmtId="168" fontId="14" fillId="0" borderId="29" xfId="2" quotePrefix="1" applyNumberFormat="1" applyFont="1" applyBorder="1" applyAlignment="1">
      <alignment horizontal="center" vertical="center"/>
    </xf>
    <xf numFmtId="168" fontId="14" fillId="0" borderId="29" xfId="2" applyNumberFormat="1" applyFont="1" applyBorder="1" applyAlignment="1">
      <alignment horizontal="center" vertical="center"/>
    </xf>
    <xf numFmtId="4" fontId="14" fillId="0" borderId="29" xfId="3" applyNumberFormat="1" applyFont="1" applyFill="1" applyBorder="1" applyAlignment="1" applyProtection="1">
      <alignment vertical="center"/>
    </xf>
    <xf numFmtId="172" fontId="14" fillId="0" borderId="30" xfId="3" applyNumberFormat="1" applyFont="1" applyFill="1" applyBorder="1" applyAlignment="1" applyProtection="1">
      <alignment horizontal="center" vertical="center"/>
    </xf>
    <xf numFmtId="37" fontId="29" fillId="0" borderId="0" xfId="2" applyFont="1" applyAlignment="1">
      <alignment horizontal="left"/>
    </xf>
    <xf numFmtId="37" fontId="29" fillId="0" borderId="0" xfId="2" applyFont="1" applyAlignment="1">
      <alignment horizontal="center" vertical="top"/>
    </xf>
    <xf numFmtId="37" fontId="29" fillId="0" borderId="0" xfId="2" applyFont="1"/>
    <xf numFmtId="37" fontId="29" fillId="0" borderId="20" xfId="2" applyFont="1" applyBorder="1" applyAlignment="1">
      <alignment horizontal="center"/>
    </xf>
    <xf numFmtId="4" fontId="29" fillId="0" borderId="0" xfId="2" applyNumberFormat="1" applyFont="1" applyAlignment="1">
      <alignment horizontal="center"/>
    </xf>
    <xf numFmtId="37" fontId="29" fillId="0" borderId="0" xfId="2" applyFont="1" applyAlignment="1">
      <alignment horizontal="center"/>
    </xf>
    <xf numFmtId="37" fontId="29" fillId="0" borderId="0" xfId="2" applyFont="1" applyAlignment="1">
      <alignment horizontal="left" vertical="top"/>
    </xf>
    <xf numFmtId="4" fontId="29" fillId="0" borderId="0" xfId="2" applyNumberFormat="1" applyFont="1" applyAlignment="1">
      <alignment vertical="center"/>
    </xf>
    <xf numFmtId="181" fontId="14" fillId="0" borderId="14" xfId="3" applyNumberFormat="1" applyFont="1" applyFill="1" applyBorder="1" applyAlignment="1" applyProtection="1">
      <alignment horizontal="center" vertical="center"/>
    </xf>
    <xf numFmtId="173" fontId="61" fillId="0" borderId="0" xfId="4" applyNumberFormat="1" applyFont="1" applyAlignment="1">
      <alignment vertical="center"/>
    </xf>
    <xf numFmtId="0" fontId="4" fillId="0" borderId="0" xfId="6"/>
    <xf numFmtId="39" fontId="14" fillId="2" borderId="0" xfId="2" applyNumberFormat="1" applyFont="1" applyFill="1" applyAlignment="1">
      <alignment vertical="center" wrapText="1"/>
    </xf>
    <xf numFmtId="4" fontId="14" fillId="2" borderId="0" xfId="2" applyNumberFormat="1" applyFont="1" applyFill="1"/>
    <xf numFmtId="4" fontId="34" fillId="2" borderId="0" xfId="2" applyNumberFormat="1" applyFont="1" applyFill="1" applyAlignment="1">
      <alignment horizontal="center" vertical="center"/>
    </xf>
    <xf numFmtId="37" fontId="14" fillId="2" borderId="0" xfId="2" applyFont="1" applyFill="1" applyAlignment="1">
      <alignment horizontal="left" vertical="top"/>
    </xf>
    <xf numFmtId="4" fontId="47" fillId="2" borderId="0" xfId="2" applyNumberFormat="1" applyFont="1" applyFill="1" applyAlignment="1">
      <alignment horizontal="center" vertical="center"/>
    </xf>
    <xf numFmtId="37" fontId="5" fillId="2" borderId="0" xfId="4" applyFont="1" applyFill="1" applyAlignment="1">
      <alignment horizontal="left" vertical="center"/>
    </xf>
    <xf numFmtId="4" fontId="14" fillId="2" borderId="0" xfId="2" applyNumberFormat="1" applyFont="1" applyFill="1" applyAlignment="1">
      <alignment horizontal="left" vertical="center"/>
    </xf>
    <xf numFmtId="4" fontId="14" fillId="2" borderId="0" xfId="2" applyNumberFormat="1" applyFont="1" applyFill="1" applyAlignment="1">
      <alignment horizontal="left"/>
    </xf>
    <xf numFmtId="37" fontId="26" fillId="12" borderId="0" xfId="2" applyFont="1" applyFill="1" applyAlignment="1">
      <alignment vertical="center"/>
    </xf>
    <xf numFmtId="37" fontId="14" fillId="0" borderId="18" xfId="2" applyFont="1" applyBorder="1" applyAlignment="1">
      <alignment vertical="center"/>
    </xf>
    <xf numFmtId="37" fontId="14" fillId="0" borderId="0" xfId="2" applyFont="1" applyAlignment="1">
      <alignment horizontal="centerContinuous" vertical="center"/>
    </xf>
    <xf numFmtId="37" fontId="14" fillId="0" borderId="18" xfId="2" applyFont="1" applyBorder="1" applyAlignment="1">
      <alignment horizontal="centerContinuous" vertical="center"/>
    </xf>
    <xf numFmtId="4" fontId="47" fillId="0" borderId="0" xfId="3" applyNumberFormat="1" applyFont="1" applyFill="1" applyBorder="1" applyAlignment="1" applyProtection="1">
      <alignment vertical="center"/>
    </xf>
    <xf numFmtId="4" fontId="10" fillId="0" borderId="0" xfId="3" applyNumberFormat="1" applyFont="1" applyFill="1" applyBorder="1" applyAlignment="1" applyProtection="1"/>
    <xf numFmtId="37" fontId="14" fillId="0" borderId="20" xfId="2" applyFont="1" applyBorder="1" applyAlignment="1">
      <alignment horizontal="center"/>
    </xf>
    <xf numFmtId="4" fontId="26" fillId="0" borderId="0" xfId="3" applyNumberFormat="1" applyFont="1" applyFill="1" applyBorder="1" applyAlignment="1" applyProtection="1"/>
    <xf numFmtId="1" fontId="14" fillId="0" borderId="18" xfId="2" applyNumberFormat="1" applyFont="1" applyBorder="1" applyAlignment="1">
      <alignment vertical="center"/>
    </xf>
    <xf numFmtId="168" fontId="14" fillId="0" borderId="0" xfId="2" applyNumberFormat="1" applyFont="1" applyAlignment="1">
      <alignment vertical="center"/>
    </xf>
    <xf numFmtId="1" fontId="5" fillId="0" borderId="34" xfId="6" applyNumberFormat="1" applyFont="1" applyBorder="1" applyAlignment="1">
      <alignment horizontal="center" vertical="center"/>
    </xf>
    <xf numFmtId="169" fontId="60" fillId="0" borderId="35" xfId="7" applyFont="1" applyFill="1" applyBorder="1" applyAlignment="1" applyProtection="1">
      <alignment horizontal="center" vertical="center"/>
    </xf>
    <xf numFmtId="1" fontId="14" fillId="0" borderId="22" xfId="2" applyNumberFormat="1" applyFont="1" applyBorder="1" applyAlignment="1">
      <alignment vertical="center"/>
    </xf>
    <xf numFmtId="168" fontId="14" fillId="0" borderId="31" xfId="2" applyNumberFormat="1" applyFont="1" applyBorder="1" applyAlignment="1">
      <alignment vertical="center"/>
    </xf>
    <xf numFmtId="172" fontId="14" fillId="0" borderId="32" xfId="3" applyNumberFormat="1" applyFont="1" applyFill="1" applyBorder="1" applyAlignment="1" applyProtection="1">
      <alignment vertical="center"/>
    </xf>
    <xf numFmtId="1" fontId="23" fillId="0" borderId="22" xfId="2" applyNumberFormat="1" applyFont="1" applyBorder="1" applyAlignment="1">
      <alignment vertical="center"/>
    </xf>
    <xf numFmtId="168" fontId="23" fillId="0" borderId="31" xfId="2" applyNumberFormat="1" applyFont="1" applyBorder="1" applyAlignment="1">
      <alignment vertical="center"/>
    </xf>
    <xf numFmtId="172" fontId="23" fillId="0" borderId="32" xfId="3" applyNumberFormat="1" applyFont="1" applyFill="1" applyBorder="1" applyAlignment="1" applyProtection="1">
      <alignment horizontal="center" vertical="center"/>
    </xf>
    <xf numFmtId="168" fontId="23" fillId="0" borderId="31" xfId="2" quotePrefix="1" applyNumberFormat="1" applyFont="1" applyBorder="1" applyAlignment="1">
      <alignment horizontal="center" vertical="center"/>
    </xf>
    <xf numFmtId="168" fontId="23" fillId="0" borderId="31" xfId="2" applyNumberFormat="1" applyFont="1" applyBorder="1" applyAlignment="1">
      <alignment horizontal="center" vertical="center"/>
    </xf>
    <xf numFmtId="4" fontId="28" fillId="0" borderId="35" xfId="3" applyNumberFormat="1" applyFont="1" applyFill="1" applyBorder="1" applyAlignment="1" applyProtection="1">
      <alignment vertical="center"/>
    </xf>
    <xf numFmtId="37" fontId="23" fillId="0" borderId="20" xfId="2" applyFont="1" applyBorder="1" applyAlignment="1">
      <alignment vertical="center"/>
    </xf>
    <xf numFmtId="1" fontId="23" fillId="0" borderId="22" xfId="2" applyNumberFormat="1" applyFont="1" applyBorder="1" applyAlignment="1">
      <alignment horizontal="left" vertical="center"/>
    </xf>
    <xf numFmtId="168" fontId="23" fillId="0" borderId="31" xfId="2" applyNumberFormat="1" applyFont="1" applyBorder="1" applyAlignment="1">
      <alignment horizontal="left" vertical="center"/>
    </xf>
    <xf numFmtId="4" fontId="28" fillId="0" borderId="31" xfId="3" applyNumberFormat="1" applyFont="1" applyFill="1" applyBorder="1" applyAlignment="1" applyProtection="1">
      <alignment vertical="center"/>
    </xf>
    <xf numFmtId="172" fontId="23" fillId="0" borderId="30" xfId="3" applyNumberFormat="1" applyFont="1" applyFill="1" applyBorder="1" applyAlignment="1" applyProtection="1">
      <alignment horizontal="center" vertical="center"/>
    </xf>
    <xf numFmtId="168" fontId="23" fillId="0" borderId="0" xfId="2" applyNumberFormat="1" applyFont="1" applyAlignment="1">
      <alignment horizontal="center" vertical="center"/>
    </xf>
    <xf numFmtId="37" fontId="61" fillId="0" borderId="16" xfId="4" applyFont="1" applyBorder="1" applyAlignment="1">
      <alignment vertical="center"/>
    </xf>
    <xf numFmtId="37" fontId="61" fillId="0" borderId="29" xfId="4" applyFont="1" applyBorder="1" applyAlignment="1">
      <alignment vertical="center"/>
    </xf>
    <xf numFmtId="37" fontId="61" fillId="0" borderId="30" xfId="4" applyFont="1" applyBorder="1" applyAlignment="1">
      <alignment vertical="center"/>
    </xf>
    <xf numFmtId="14" fontId="62" fillId="0" borderId="18" xfId="4" applyNumberFormat="1" applyFont="1" applyBorder="1" applyAlignment="1">
      <alignment horizontal="left" vertical="center"/>
    </xf>
    <xf numFmtId="37" fontId="62" fillId="0" borderId="0" xfId="4" applyFont="1" applyAlignment="1">
      <alignment vertical="center"/>
    </xf>
    <xf numFmtId="37" fontId="62" fillId="0" borderId="20" xfId="4" applyFont="1" applyBorder="1" applyAlignment="1">
      <alignment vertical="center"/>
    </xf>
    <xf numFmtId="168" fontId="23" fillId="0" borderId="33" xfId="2" applyNumberFormat="1" applyFont="1" applyBorder="1" applyAlignment="1">
      <alignment horizontal="left" vertical="center"/>
    </xf>
    <xf numFmtId="4" fontId="23" fillId="14" borderId="14" xfId="3" applyNumberFormat="1" applyFont="1" applyFill="1" applyBorder="1" applyAlignment="1" applyProtection="1">
      <alignment vertical="center"/>
    </xf>
    <xf numFmtId="1" fontId="23" fillId="14" borderId="14" xfId="6" applyNumberFormat="1" applyFont="1" applyFill="1" applyBorder="1" applyAlignment="1">
      <alignment horizontal="center" vertical="center"/>
    </xf>
    <xf numFmtId="1" fontId="22" fillId="0" borderId="14" xfId="6" applyNumberFormat="1" applyFont="1" applyBorder="1" applyAlignment="1">
      <alignment horizontal="center" vertical="center"/>
    </xf>
    <xf numFmtId="180" fontId="23" fillId="14" borderId="38" xfId="3" applyNumberFormat="1" applyFont="1" applyFill="1" applyBorder="1" applyAlignment="1" applyProtection="1">
      <alignment horizontal="center" vertical="center"/>
    </xf>
    <xf numFmtId="1" fontId="22" fillId="2" borderId="14" xfId="6" applyNumberFormat="1" applyFont="1" applyFill="1" applyBorder="1" applyAlignment="1">
      <alignment horizontal="center" vertical="center"/>
    </xf>
    <xf numFmtId="1" fontId="23" fillId="0" borderId="16" xfId="2" applyNumberFormat="1" applyFont="1" applyBorder="1" applyAlignment="1">
      <alignment horizontal="left" vertical="center"/>
    </xf>
    <xf numFmtId="168" fontId="23" fillId="0" borderId="0" xfId="2" applyNumberFormat="1" applyFont="1" applyAlignment="1">
      <alignment horizontal="left" vertical="center"/>
    </xf>
    <xf numFmtId="1" fontId="16" fillId="0" borderId="34" xfId="2" applyNumberFormat="1" applyFont="1" applyBorder="1" applyAlignment="1">
      <alignment horizontal="center" vertical="center"/>
    </xf>
    <xf numFmtId="1" fontId="22" fillId="2" borderId="0" xfId="6" applyNumberFormat="1" applyFont="1" applyFill="1" applyAlignment="1">
      <alignment horizontal="center" vertical="center"/>
    </xf>
    <xf numFmtId="1" fontId="22" fillId="0" borderId="0" xfId="6" applyNumberFormat="1" applyFont="1" applyAlignment="1">
      <alignment horizontal="center" vertical="center"/>
    </xf>
    <xf numFmtId="1" fontId="23" fillId="16" borderId="14" xfId="6" applyNumberFormat="1" applyFont="1" applyFill="1" applyBorder="1" applyAlignment="1">
      <alignment horizontal="center" vertical="center"/>
    </xf>
    <xf numFmtId="180" fontId="23" fillId="16" borderId="14" xfId="3" applyNumberFormat="1" applyFont="1" applyFill="1" applyBorder="1" applyAlignment="1" applyProtection="1">
      <alignment horizontal="center" vertical="center"/>
    </xf>
    <xf numFmtId="168" fontId="23" fillId="16" borderId="35" xfId="2" quotePrefix="1" applyNumberFormat="1" applyFont="1" applyFill="1" applyBorder="1" applyAlignment="1">
      <alignment horizontal="center" vertical="center"/>
    </xf>
    <xf numFmtId="168" fontId="23" fillId="16" borderId="34" xfId="2" quotePrefix="1" applyNumberFormat="1" applyFont="1" applyFill="1" applyBorder="1" applyAlignment="1">
      <alignment horizontal="center" vertical="center"/>
    </xf>
    <xf numFmtId="168" fontId="14" fillId="16" borderId="14" xfId="2" applyNumberFormat="1" applyFont="1" applyFill="1" applyBorder="1" applyAlignment="1">
      <alignment horizontal="center" vertical="center"/>
    </xf>
    <xf numFmtId="4" fontId="23" fillId="16" borderId="14" xfId="3" applyNumberFormat="1" applyFont="1" applyFill="1" applyBorder="1" applyAlignment="1" applyProtection="1">
      <alignment vertical="center"/>
    </xf>
    <xf numFmtId="168" fontId="23" fillId="16" borderId="14" xfId="2" applyNumberFormat="1" applyFont="1" applyFill="1" applyBorder="1" applyAlignment="1">
      <alignment horizontal="center" vertical="center"/>
    </xf>
    <xf numFmtId="4" fontId="23" fillId="13" borderId="14" xfId="3" applyNumberFormat="1" applyFont="1" applyFill="1" applyBorder="1" applyAlignment="1" applyProtection="1">
      <alignment vertical="center"/>
    </xf>
    <xf numFmtId="1" fontId="23" fillId="13" borderId="14" xfId="2" applyNumberFormat="1" applyFont="1" applyFill="1" applyBorder="1" applyAlignment="1">
      <alignment horizontal="center" vertical="center"/>
    </xf>
    <xf numFmtId="1" fontId="55" fillId="16" borderId="14" xfId="6" applyNumberFormat="1" applyFont="1" applyFill="1" applyBorder="1" applyAlignment="1">
      <alignment horizontal="center" vertical="center"/>
    </xf>
    <xf numFmtId="1" fontId="14" fillId="16" borderId="14" xfId="2" applyNumberFormat="1" applyFont="1" applyFill="1" applyBorder="1" applyAlignment="1">
      <alignment horizontal="center" vertical="center"/>
    </xf>
    <xf numFmtId="168" fontId="14" fillId="16" borderId="29" xfId="2" applyNumberFormat="1" applyFont="1" applyFill="1" applyBorder="1" applyAlignment="1">
      <alignment horizontal="center" vertical="center"/>
    </xf>
    <xf numFmtId="168" fontId="23" fillId="16" borderId="29" xfId="2" applyNumberFormat="1" applyFont="1" applyFill="1" applyBorder="1" applyAlignment="1">
      <alignment horizontal="center" vertical="center"/>
    </xf>
    <xf numFmtId="1" fontId="23" fillId="16" borderId="34" xfId="6" applyNumberFormat="1" applyFont="1" applyFill="1" applyBorder="1" applyAlignment="1">
      <alignment horizontal="center" vertical="center"/>
    </xf>
    <xf numFmtId="180" fontId="23" fillId="16" borderId="14" xfId="3" quotePrefix="1" applyNumberFormat="1" applyFont="1" applyFill="1" applyBorder="1" applyAlignment="1" applyProtection="1">
      <alignment horizontal="center" vertical="center"/>
    </xf>
    <xf numFmtId="4" fontId="23" fillId="16" borderId="22" xfId="3" applyNumberFormat="1" applyFont="1" applyFill="1" applyBorder="1" applyAlignment="1" applyProtection="1">
      <alignment vertical="center"/>
    </xf>
    <xf numFmtId="172" fontId="23" fillId="16" borderId="11" xfId="3" applyNumberFormat="1" applyFont="1" applyFill="1" applyBorder="1" applyAlignment="1" applyProtection="1">
      <alignment horizontal="center" vertical="center"/>
    </xf>
    <xf numFmtId="169" fontId="60" fillId="0" borderId="0" xfId="7" applyFont="1" applyFill="1" applyBorder="1" applyAlignment="1" applyProtection="1">
      <alignment horizontal="center" vertical="center"/>
    </xf>
    <xf numFmtId="172" fontId="14" fillId="0" borderId="0" xfId="3" applyNumberFormat="1" applyFont="1" applyFill="1" applyBorder="1" applyAlignment="1" applyProtection="1">
      <alignment vertical="center"/>
    </xf>
    <xf numFmtId="172" fontId="23" fillId="0" borderId="0" xfId="3" applyNumberFormat="1" applyFont="1" applyFill="1" applyBorder="1" applyAlignment="1" applyProtection="1">
      <alignment horizontal="center" vertical="center"/>
    </xf>
    <xf numFmtId="37" fontId="23" fillId="0" borderId="0" xfId="2" applyFont="1" applyAlignment="1">
      <alignment vertical="center"/>
    </xf>
    <xf numFmtId="172" fontId="23" fillId="16" borderId="0" xfId="3" applyNumberFormat="1" applyFont="1" applyFill="1" applyBorder="1" applyAlignment="1" applyProtection="1">
      <alignment horizontal="center" vertical="center"/>
    </xf>
    <xf numFmtId="172" fontId="14" fillId="16" borderId="0" xfId="3" applyNumberFormat="1" applyFont="1" applyFill="1" applyBorder="1" applyAlignment="1" applyProtection="1">
      <alignment horizontal="center" vertical="center"/>
    </xf>
    <xf numFmtId="37" fontId="61" fillId="0" borderId="0" xfId="4" applyFont="1" applyAlignment="1">
      <alignment vertical="center"/>
    </xf>
    <xf numFmtId="1" fontId="23" fillId="13" borderId="16" xfId="2" applyNumberFormat="1" applyFont="1" applyFill="1" applyBorder="1" applyAlignment="1">
      <alignment horizontal="center" vertical="center"/>
    </xf>
    <xf numFmtId="168" fontId="23" fillId="13" borderId="29" xfId="2" quotePrefix="1" applyNumberFormat="1" applyFont="1" applyFill="1" applyBorder="1" applyAlignment="1">
      <alignment horizontal="center" vertical="center"/>
    </xf>
    <xf numFmtId="168" fontId="23" fillId="13" borderId="29" xfId="2" applyNumberFormat="1" applyFont="1" applyFill="1" applyBorder="1" applyAlignment="1">
      <alignment horizontal="center" vertical="center"/>
    </xf>
    <xf numFmtId="172" fontId="23" fillId="13" borderId="0" xfId="3" applyNumberFormat="1" applyFont="1" applyFill="1" applyBorder="1" applyAlignment="1" applyProtection="1">
      <alignment horizontal="center" vertical="center"/>
    </xf>
    <xf numFmtId="4" fontId="61" fillId="0" borderId="0" xfId="4" applyNumberFormat="1" applyFont="1" applyAlignment="1">
      <alignment vertical="center"/>
    </xf>
    <xf numFmtId="4" fontId="62" fillId="0" borderId="0" xfId="4" applyNumberFormat="1" applyFont="1" applyAlignment="1">
      <alignment vertical="center"/>
    </xf>
    <xf numFmtId="178" fontId="23" fillId="13" borderId="0" xfId="3" applyNumberFormat="1" applyFont="1" applyFill="1" applyBorder="1" applyAlignment="1" applyProtection="1">
      <alignment horizontal="center" vertical="center"/>
    </xf>
    <xf numFmtId="37" fontId="14" fillId="2" borderId="0" xfId="2" applyFont="1" applyFill="1" applyAlignment="1">
      <alignment horizontal="left"/>
    </xf>
    <xf numFmtId="1" fontId="14" fillId="0" borderId="14" xfId="6" applyNumberFormat="1" applyFont="1" applyBorder="1" applyAlignment="1">
      <alignment horizontal="center" vertical="center"/>
    </xf>
    <xf numFmtId="1" fontId="23" fillId="0" borderId="14" xfId="6" applyNumberFormat="1" applyFont="1" applyBorder="1" applyAlignment="1">
      <alignment horizontal="center" vertical="center"/>
    </xf>
    <xf numFmtId="1" fontId="27" fillId="0" borderId="7" xfId="6" applyNumberFormat="1" applyFont="1" applyBorder="1" applyAlignment="1">
      <alignment horizontal="left" vertical="center"/>
    </xf>
    <xf numFmtId="168" fontId="16" fillId="0" borderId="29" xfId="2" applyNumberFormat="1" applyFont="1" applyBorder="1" applyAlignment="1">
      <alignment horizontal="center" vertical="center"/>
    </xf>
    <xf numFmtId="168" fontId="16" fillId="0" borderId="0" xfId="2" applyNumberFormat="1" applyFont="1" applyAlignment="1">
      <alignment horizontal="center" vertical="center"/>
    </xf>
    <xf numFmtId="37" fontId="5" fillId="0" borderId="0" xfId="2" applyFont="1" applyAlignment="1">
      <alignment horizontal="centerContinuous" vertical="center"/>
    </xf>
    <xf numFmtId="39" fontId="10" fillId="0" borderId="0" xfId="2" applyNumberFormat="1" applyFont="1" applyAlignment="1">
      <alignment horizontal="right" vertical="center"/>
    </xf>
    <xf numFmtId="1" fontId="5" fillId="0" borderId="18" xfId="2" applyNumberFormat="1" applyFont="1" applyBorder="1" applyAlignment="1">
      <alignment vertical="center"/>
    </xf>
    <xf numFmtId="168" fontId="5" fillId="0" borderId="0" xfId="2" applyNumberFormat="1" applyFont="1" applyAlignment="1">
      <alignment vertical="center"/>
    </xf>
    <xf numFmtId="168" fontId="5" fillId="0" borderId="0" xfId="2" applyNumberFormat="1" applyFont="1" applyAlignment="1">
      <alignment horizontal="center" vertical="center"/>
    </xf>
    <xf numFmtId="1" fontId="16" fillId="0" borderId="16" xfId="2" applyNumberFormat="1" applyFont="1" applyBorder="1" applyAlignment="1">
      <alignment horizontal="left" vertical="center" indent="2"/>
    </xf>
    <xf numFmtId="4" fontId="27" fillId="0" borderId="29" xfId="3" applyNumberFormat="1" applyFont="1" applyFill="1" applyBorder="1" applyAlignment="1" applyProtection="1">
      <alignment vertical="center"/>
    </xf>
    <xf numFmtId="1" fontId="16" fillId="0" borderId="18" xfId="2" applyNumberFormat="1" applyFont="1" applyBorder="1" applyAlignment="1">
      <alignment horizontal="left" vertical="center" indent="2"/>
    </xf>
    <xf numFmtId="1" fontId="27" fillId="0" borderId="18" xfId="2" applyNumberFormat="1" applyFont="1" applyBorder="1" applyAlignment="1">
      <alignment horizontal="left" vertical="center"/>
    </xf>
    <xf numFmtId="168" fontId="16" fillId="0" borderId="0" xfId="2" quotePrefix="1" applyNumberFormat="1" applyFont="1" applyAlignment="1">
      <alignment horizontal="center" vertical="center"/>
    </xf>
    <xf numFmtId="37" fontId="58" fillId="0" borderId="16" xfId="4" applyFont="1" applyBorder="1" applyAlignment="1">
      <alignment vertical="center"/>
    </xf>
    <xf numFmtId="37" fontId="58" fillId="0" borderId="29" xfId="4" applyFont="1" applyBorder="1" applyAlignment="1">
      <alignment vertical="center"/>
    </xf>
    <xf numFmtId="37" fontId="58" fillId="0" borderId="30" xfId="4" applyFont="1" applyBorder="1" applyAlignment="1">
      <alignment vertical="center"/>
    </xf>
    <xf numFmtId="37" fontId="53" fillId="0" borderId="20" xfId="2" applyFont="1" applyBorder="1" applyAlignment="1">
      <alignment vertical="center"/>
    </xf>
    <xf numFmtId="37" fontId="53" fillId="0" borderId="31" xfId="2" applyFont="1" applyBorder="1" applyAlignment="1">
      <alignment vertical="center"/>
    </xf>
    <xf numFmtId="37" fontId="14" fillId="17" borderId="0" xfId="2" applyFont="1" applyFill="1" applyAlignment="1">
      <alignment horizontal="center" vertical="top"/>
    </xf>
    <xf numFmtId="1" fontId="22" fillId="12" borderId="14" xfId="6" applyNumberFormat="1" applyFont="1" applyFill="1" applyBorder="1" applyAlignment="1">
      <alignment horizontal="center" vertical="center"/>
    </xf>
    <xf numFmtId="37" fontId="54" fillId="12" borderId="0" xfId="2" applyFont="1" applyFill="1" applyAlignment="1">
      <alignment vertical="center"/>
    </xf>
    <xf numFmtId="1" fontId="23" fillId="12" borderId="14" xfId="6" applyNumberFormat="1" applyFont="1" applyFill="1" applyBorder="1" applyAlignment="1">
      <alignment horizontal="center" vertical="center"/>
    </xf>
    <xf numFmtId="4" fontId="58" fillId="0" borderId="0" xfId="4" applyNumberFormat="1" applyFont="1" applyAlignment="1">
      <alignment vertical="center"/>
    </xf>
    <xf numFmtId="4" fontId="59" fillId="0" borderId="0" xfId="4" applyNumberFormat="1" applyFont="1" applyAlignment="1">
      <alignment vertical="center"/>
    </xf>
    <xf numFmtId="4" fontId="53" fillId="0" borderId="0" xfId="2" applyNumberFormat="1" applyFont="1" applyAlignment="1">
      <alignment vertical="center"/>
    </xf>
    <xf numFmtId="173" fontId="23" fillId="14" borderId="14" xfId="3" applyNumberFormat="1" applyFont="1" applyFill="1" applyBorder="1" applyAlignment="1" applyProtection="1">
      <alignment horizontal="center" vertical="center"/>
    </xf>
    <xf numFmtId="181" fontId="23" fillId="0" borderId="14" xfId="3" applyNumberFormat="1" applyFont="1" applyFill="1" applyBorder="1" applyAlignment="1" applyProtection="1">
      <alignment horizontal="center" vertical="center"/>
    </xf>
    <xf numFmtId="179" fontId="23" fillId="0" borderId="14" xfId="3" applyNumberFormat="1" applyFont="1" applyFill="1" applyBorder="1" applyAlignment="1" applyProtection="1">
      <alignment horizontal="center" vertical="center"/>
    </xf>
    <xf numFmtId="181" fontId="23" fillId="14" borderId="14" xfId="3" applyNumberFormat="1" applyFont="1" applyFill="1" applyBorder="1" applyAlignment="1" applyProtection="1">
      <alignment horizontal="center" vertical="center"/>
    </xf>
    <xf numFmtId="4" fontId="9" fillId="0" borderId="8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4" fontId="22" fillId="0" borderId="9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4" fontId="14" fillId="0" borderId="9" xfId="0" applyNumberFormat="1" applyFont="1" applyBorder="1" applyAlignment="1">
      <alignment vertical="center"/>
    </xf>
    <xf numFmtId="4" fontId="0" fillId="0" borderId="9" xfId="0" applyNumberFormat="1" applyBorder="1" applyAlignment="1">
      <alignment vertical="center"/>
    </xf>
    <xf numFmtId="4" fontId="10" fillId="0" borderId="9" xfId="0" applyNumberFormat="1" applyFont="1" applyBorder="1" applyAlignment="1">
      <alignment vertical="center"/>
    </xf>
    <xf numFmtId="4" fontId="8" fillId="0" borderId="9" xfId="0" applyNumberFormat="1" applyFont="1" applyBorder="1" applyAlignment="1">
      <alignment vertical="center"/>
    </xf>
    <xf numFmtId="4" fontId="17" fillId="0" borderId="9" xfId="0" applyNumberFormat="1" applyFont="1" applyBorder="1" applyAlignment="1">
      <alignment vertical="center"/>
    </xf>
    <xf numFmtId="4" fontId="24" fillId="0" borderId="9" xfId="0" applyNumberFormat="1" applyFont="1" applyBorder="1" applyAlignment="1">
      <alignment vertical="center"/>
    </xf>
    <xf numFmtId="4" fontId="5" fillId="0" borderId="11" xfId="0" applyNumberFormat="1" applyFont="1" applyBorder="1" applyAlignment="1">
      <alignment vertical="center"/>
    </xf>
    <xf numFmtId="4" fontId="8" fillId="0" borderId="6" xfId="0" applyNumberFormat="1" applyFont="1" applyBorder="1" applyAlignment="1">
      <alignment vertical="center"/>
    </xf>
    <xf numFmtId="4" fontId="11" fillId="0" borderId="0" xfId="0" applyNumberFormat="1" applyFont="1" applyAlignment="1">
      <alignment vertical="center"/>
    </xf>
    <xf numFmtId="4" fontId="13" fillId="0" borderId="0" xfId="0" applyNumberFormat="1" applyFont="1" applyAlignment="1">
      <alignment vertical="center"/>
    </xf>
    <xf numFmtId="4" fontId="8" fillId="0" borderId="8" xfId="0" applyNumberFormat="1" applyFont="1" applyBorder="1" applyAlignment="1">
      <alignment vertical="center"/>
    </xf>
    <xf numFmtId="4" fontId="25" fillId="0" borderId="1" xfId="0" applyNumberFormat="1" applyFont="1" applyBorder="1" applyAlignment="1">
      <alignment vertical="center"/>
    </xf>
    <xf numFmtId="4" fontId="10" fillId="0" borderId="10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4" fontId="5" fillId="7" borderId="1" xfId="0" applyNumberFormat="1" applyFont="1" applyFill="1" applyBorder="1" applyAlignment="1">
      <alignment vertical="center"/>
    </xf>
    <xf numFmtId="37" fontId="23" fillId="0" borderId="11" xfId="2" applyFont="1" applyBorder="1" applyAlignment="1">
      <alignment horizontal="center" vertical="center" wrapText="1"/>
    </xf>
    <xf numFmtId="37" fontId="23" fillId="0" borderId="20" xfId="2" applyFont="1" applyBorder="1" applyAlignment="1">
      <alignment horizontal="center" vertical="center"/>
    </xf>
    <xf numFmtId="4" fontId="14" fillId="16" borderId="14" xfId="3" applyNumberFormat="1" applyFont="1" applyFill="1" applyBorder="1" applyAlignment="1" applyProtection="1">
      <alignment horizontal="center" vertical="center"/>
    </xf>
    <xf numFmtId="4" fontId="63" fillId="14" borderId="14" xfId="2" applyNumberFormat="1" applyFont="1" applyFill="1" applyBorder="1" applyAlignment="1">
      <alignment vertical="center"/>
    </xf>
    <xf numFmtId="1" fontId="14" fillId="2" borderId="14" xfId="2" applyNumberFormat="1" applyFont="1" applyFill="1" applyBorder="1" applyAlignment="1">
      <alignment horizontal="center" vertical="center"/>
    </xf>
    <xf numFmtId="4" fontId="14" fillId="2" borderId="34" xfId="3" applyNumberFormat="1" applyFont="1" applyFill="1" applyBorder="1" applyAlignment="1" applyProtection="1">
      <alignment vertical="center"/>
    </xf>
    <xf numFmtId="172" fontId="14" fillId="2" borderId="14" xfId="3" applyNumberFormat="1" applyFont="1" applyFill="1" applyBorder="1" applyAlignment="1" applyProtection="1">
      <alignment horizontal="center" vertical="center"/>
    </xf>
    <xf numFmtId="4" fontId="14" fillId="2" borderId="14" xfId="3" applyNumberFormat="1" applyFont="1" applyFill="1" applyBorder="1" applyAlignment="1" applyProtection="1">
      <alignment horizontal="center" vertical="center"/>
    </xf>
    <xf numFmtId="4" fontId="14" fillId="2" borderId="18" xfId="2" applyNumberFormat="1" applyFont="1" applyFill="1" applyBorder="1" applyAlignment="1">
      <alignment vertical="center" wrapText="1"/>
    </xf>
    <xf numFmtId="4" fontId="14" fillId="13" borderId="0" xfId="3" applyNumberFormat="1" applyFont="1" applyFill="1" applyBorder="1" applyAlignment="1" applyProtection="1">
      <alignment horizontal="center" vertical="center"/>
    </xf>
    <xf numFmtId="1" fontId="23" fillId="2" borderId="16" xfId="0" applyNumberFormat="1" applyFont="1" applyFill="1" applyBorder="1" applyAlignment="1">
      <alignment horizontal="center" vertical="center"/>
    </xf>
    <xf numFmtId="168" fontId="23" fillId="2" borderId="29" xfId="2" applyNumberFormat="1" applyFont="1" applyFill="1" applyBorder="1" applyAlignment="1">
      <alignment horizontal="center" vertical="center"/>
    </xf>
    <xf numFmtId="168" fontId="14" fillId="2" borderId="29" xfId="2" applyNumberFormat="1" applyFont="1" applyFill="1" applyBorder="1" applyAlignment="1">
      <alignment horizontal="center" vertical="center"/>
    </xf>
    <xf numFmtId="4" fontId="14" fillId="2" borderId="29" xfId="3" applyNumberFormat="1" applyFont="1" applyFill="1" applyBorder="1" applyAlignment="1" applyProtection="1">
      <alignment vertical="center"/>
    </xf>
    <xf numFmtId="172" fontId="14" fillId="2" borderId="30" xfId="3" applyNumberFormat="1" applyFont="1" applyFill="1" applyBorder="1" applyAlignment="1" applyProtection="1">
      <alignment horizontal="center" vertical="center"/>
    </xf>
    <xf numFmtId="4" fontId="14" fillId="2" borderId="0" xfId="3" applyNumberFormat="1" applyFont="1" applyFill="1" applyBorder="1" applyAlignment="1" applyProtection="1">
      <alignment horizontal="center" vertical="center"/>
    </xf>
    <xf numFmtId="10" fontId="14" fillId="2" borderId="0" xfId="3" applyNumberFormat="1" applyFont="1" applyFill="1" applyBorder="1" applyAlignment="1" applyProtection="1">
      <alignment horizontal="center" vertical="center"/>
    </xf>
    <xf numFmtId="172" fontId="14" fillId="2" borderId="0" xfId="3" applyNumberFormat="1" applyFont="1" applyFill="1" applyBorder="1" applyAlignment="1" applyProtection="1">
      <alignment horizontal="center" vertical="center"/>
    </xf>
    <xf numFmtId="168" fontId="23" fillId="16" borderId="14" xfId="2" quotePrefix="1" applyNumberFormat="1" applyFont="1" applyFill="1" applyBorder="1" applyAlignment="1">
      <alignment horizontal="center" vertical="center"/>
    </xf>
    <xf numFmtId="37" fontId="63" fillId="2" borderId="14" xfId="2" applyFont="1" applyFill="1" applyBorder="1" applyAlignment="1">
      <alignment vertical="center"/>
    </xf>
    <xf numFmtId="1" fontId="23" fillId="20" borderId="14" xfId="2" applyNumberFormat="1" applyFont="1" applyFill="1" applyBorder="1" applyAlignment="1">
      <alignment horizontal="center" vertical="center"/>
    </xf>
    <xf numFmtId="168" fontId="23" fillId="20" borderId="14" xfId="2" quotePrefix="1" applyNumberFormat="1" applyFont="1" applyFill="1" applyBorder="1" applyAlignment="1">
      <alignment horizontal="center" vertical="center"/>
    </xf>
    <xf numFmtId="168" fontId="23" fillId="20" borderId="14" xfId="2" applyNumberFormat="1" applyFont="1" applyFill="1" applyBorder="1" applyAlignment="1">
      <alignment horizontal="center" vertical="center"/>
    </xf>
    <xf numFmtId="4" fontId="23" fillId="20" borderId="14" xfId="3" applyNumberFormat="1" applyFont="1" applyFill="1" applyBorder="1" applyAlignment="1" applyProtection="1">
      <alignment vertical="center"/>
    </xf>
    <xf numFmtId="172" fontId="14" fillId="20" borderId="14" xfId="3" applyNumberFormat="1" applyFont="1" applyFill="1" applyBorder="1" applyAlignment="1" applyProtection="1">
      <alignment horizontal="center" vertical="center"/>
    </xf>
    <xf numFmtId="4" fontId="14" fillId="20" borderId="14" xfId="3" applyNumberFormat="1" applyFont="1" applyFill="1" applyBorder="1" applyAlignment="1" applyProtection="1">
      <alignment horizontal="center" vertical="center"/>
    </xf>
    <xf numFmtId="10" fontId="14" fillId="20" borderId="14" xfId="3" applyNumberFormat="1" applyFont="1" applyFill="1" applyBorder="1" applyAlignment="1" applyProtection="1">
      <alignment horizontal="center" vertical="center"/>
    </xf>
    <xf numFmtId="37" fontId="14" fillId="20" borderId="14" xfId="2" applyFont="1" applyFill="1" applyBorder="1" applyAlignment="1">
      <alignment vertical="center"/>
    </xf>
    <xf numFmtId="4" fontId="29" fillId="0" borderId="0" xfId="2" applyNumberFormat="1" applyFont="1" applyAlignment="1">
      <alignment horizontal="left" vertical="center"/>
    </xf>
    <xf numFmtId="37" fontId="29" fillId="0" borderId="0" xfId="2" applyFont="1" applyAlignment="1">
      <alignment horizontal="left" vertical="center"/>
    </xf>
    <xf numFmtId="10" fontId="14" fillId="0" borderId="0" xfId="2" applyNumberFormat="1" applyFont="1" applyAlignment="1">
      <alignment horizontal="center" vertical="top"/>
    </xf>
    <xf numFmtId="37" fontId="9" fillId="2" borderId="0" xfId="2" applyFont="1" applyFill="1" applyAlignment="1">
      <alignment horizontal="center" vertical="top"/>
    </xf>
    <xf numFmtId="37" fontId="9" fillId="2" borderId="0" xfId="2" applyFont="1" applyFill="1" applyAlignment="1">
      <alignment horizontal="center" vertical="center"/>
    </xf>
    <xf numFmtId="37" fontId="9" fillId="2" borderId="0" xfId="2" applyFont="1" applyFill="1" applyAlignment="1">
      <alignment horizontal="center" vertical="center" wrapText="1"/>
    </xf>
    <xf numFmtId="10" fontId="14" fillId="0" borderId="9" xfId="2" applyNumberFormat="1" applyFont="1" applyBorder="1" applyAlignment="1">
      <alignment horizontal="center" vertical="center" wrapText="1"/>
    </xf>
    <xf numFmtId="10" fontId="14" fillId="0" borderId="11" xfId="2" applyNumberFormat="1" applyFont="1" applyBorder="1" applyAlignment="1">
      <alignment horizontal="center" vertical="center" wrapText="1"/>
    </xf>
    <xf numFmtId="4" fontId="9" fillId="2" borderId="0" xfId="2" applyNumberFormat="1" applyFont="1" applyFill="1" applyAlignment="1">
      <alignment vertical="center"/>
    </xf>
    <xf numFmtId="37" fontId="9" fillId="2" borderId="0" xfId="2" applyFont="1" applyFill="1" applyAlignment="1">
      <alignment vertical="center"/>
    </xf>
    <xf numFmtId="37" fontId="14" fillId="21" borderId="0" xfId="2" applyFont="1" applyFill="1" applyAlignment="1">
      <alignment vertical="center"/>
    </xf>
    <xf numFmtId="168" fontId="23" fillId="14" borderId="14" xfId="2" applyNumberFormat="1" applyFont="1" applyFill="1" applyBorder="1" applyAlignment="1">
      <alignment horizontal="center" vertical="center"/>
    </xf>
    <xf numFmtId="168" fontId="23" fillId="14" borderId="14" xfId="2" quotePrefix="1" applyNumberFormat="1" applyFont="1" applyFill="1" applyBorder="1" applyAlignment="1">
      <alignment horizontal="center" vertical="center"/>
    </xf>
    <xf numFmtId="168" fontId="14" fillId="14" borderId="14" xfId="2" applyNumberFormat="1" applyFont="1" applyFill="1" applyBorder="1" applyAlignment="1">
      <alignment horizontal="center" vertical="center"/>
    </xf>
    <xf numFmtId="4" fontId="64" fillId="21" borderId="14" xfId="2" applyNumberFormat="1" applyFont="1" applyFill="1" applyBorder="1" applyAlignment="1">
      <alignment vertical="center"/>
    </xf>
    <xf numFmtId="4" fontId="54" fillId="21" borderId="18" xfId="2" applyNumberFormat="1" applyFont="1" applyFill="1" applyBorder="1" applyAlignment="1">
      <alignment vertical="center"/>
    </xf>
    <xf numFmtId="4" fontId="14" fillId="21" borderId="0" xfId="2" applyNumberFormat="1" applyFont="1" applyFill="1" applyAlignment="1">
      <alignment vertical="center"/>
    </xf>
    <xf numFmtId="37" fontId="14" fillId="14" borderId="0" xfId="2" applyFont="1" applyFill="1" applyAlignment="1">
      <alignment vertical="center"/>
    </xf>
    <xf numFmtId="4" fontId="9" fillId="14" borderId="14" xfId="2" applyNumberFormat="1" applyFont="1" applyFill="1" applyBorder="1" applyAlignment="1">
      <alignment vertical="center"/>
    </xf>
    <xf numFmtId="168" fontId="23" fillId="0" borderId="14" xfId="2" quotePrefix="1" applyNumberFormat="1" applyFont="1" applyBorder="1" applyAlignment="1">
      <alignment horizontal="center" vertical="center"/>
    </xf>
    <xf numFmtId="37" fontId="9" fillId="2" borderId="14" xfId="2" applyFont="1" applyFill="1" applyBorder="1" applyAlignment="1">
      <alignment vertical="center"/>
    </xf>
    <xf numFmtId="4" fontId="16" fillId="14" borderId="14" xfId="3" applyNumberFormat="1" applyFont="1" applyFill="1" applyBorder="1" applyAlignment="1" applyProtection="1">
      <alignment horizontal="center" vertical="center"/>
    </xf>
    <xf numFmtId="10" fontId="5" fillId="0" borderId="0" xfId="3" applyNumberFormat="1" applyFont="1" applyFill="1" applyBorder="1" applyAlignment="1" applyProtection="1">
      <alignment horizontal="center" vertical="center"/>
    </xf>
    <xf numFmtId="168" fontId="14" fillId="0" borderId="14" xfId="2" quotePrefix="1" applyNumberFormat="1" applyFont="1" applyBorder="1" applyAlignment="1">
      <alignment horizontal="center" vertical="center"/>
    </xf>
    <xf numFmtId="4" fontId="14" fillId="0" borderId="14" xfId="3" applyNumberFormat="1" applyFont="1" applyFill="1" applyBorder="1" applyAlignment="1" applyProtection="1">
      <alignment vertical="center"/>
    </xf>
    <xf numFmtId="37" fontId="65" fillId="15" borderId="0" xfId="2" applyFont="1" applyFill="1" applyAlignment="1">
      <alignment vertical="top"/>
    </xf>
    <xf numFmtId="168" fontId="14" fillId="16" borderId="14" xfId="2" quotePrefix="1" applyNumberFormat="1" applyFont="1" applyFill="1" applyBorder="1" applyAlignment="1">
      <alignment horizontal="center" vertical="center"/>
    </xf>
    <xf numFmtId="4" fontId="14" fillId="16" borderId="14" xfId="3" applyNumberFormat="1" applyFont="1" applyFill="1" applyBorder="1" applyAlignment="1" applyProtection="1">
      <alignment vertical="center"/>
    </xf>
    <xf numFmtId="10" fontId="14" fillId="16" borderId="14" xfId="3" applyNumberFormat="1" applyFont="1" applyFill="1" applyBorder="1" applyAlignment="1" applyProtection="1">
      <alignment horizontal="center" vertical="center"/>
    </xf>
    <xf numFmtId="37" fontId="9" fillId="16" borderId="14" xfId="2" applyFont="1" applyFill="1" applyBorder="1" applyAlignment="1">
      <alignment vertical="center"/>
    </xf>
    <xf numFmtId="37" fontId="65" fillId="15" borderId="0" xfId="2" applyFont="1" applyFill="1" applyAlignment="1">
      <alignment horizontal="left" vertical="center"/>
    </xf>
    <xf numFmtId="4" fontId="65" fillId="15" borderId="0" xfId="2" applyNumberFormat="1" applyFont="1" applyFill="1" applyAlignment="1">
      <alignment vertical="top"/>
    </xf>
    <xf numFmtId="168" fontId="14" fillId="17" borderId="14" xfId="2" applyNumberFormat="1" applyFont="1" applyFill="1" applyBorder="1" applyAlignment="1">
      <alignment horizontal="center" vertical="center"/>
    </xf>
    <xf numFmtId="10" fontId="23" fillId="16" borderId="14" xfId="3" applyNumberFormat="1" applyFont="1" applyFill="1" applyBorder="1" applyAlignment="1" applyProtection="1">
      <alignment horizontal="center" vertical="center"/>
    </xf>
    <xf numFmtId="1" fontId="14" fillId="0" borderId="34" xfId="0" applyNumberFormat="1" applyFont="1" applyBorder="1" applyAlignment="1">
      <alignment horizontal="center" vertical="center"/>
    </xf>
    <xf numFmtId="180" fontId="23" fillId="0" borderId="14" xfId="3" quotePrefix="1" applyNumberFormat="1" applyFont="1" applyFill="1" applyBorder="1" applyAlignment="1" applyProtection="1">
      <alignment horizontal="center" vertical="center"/>
    </xf>
    <xf numFmtId="10" fontId="23" fillId="0" borderId="14" xfId="3" quotePrefix="1" applyNumberFormat="1" applyFont="1" applyFill="1" applyBorder="1" applyAlignment="1" applyProtection="1">
      <alignment horizontal="center" vertical="center"/>
    </xf>
    <xf numFmtId="4" fontId="23" fillId="0" borderId="14" xfId="3" quotePrefix="1" applyNumberFormat="1" applyFont="1" applyFill="1" applyBorder="1" applyAlignment="1" applyProtection="1">
      <alignment horizontal="center" vertical="center"/>
    </xf>
    <xf numFmtId="37" fontId="64" fillId="21" borderId="14" xfId="2" applyFont="1" applyFill="1" applyBorder="1" applyAlignment="1">
      <alignment vertical="center"/>
    </xf>
    <xf numFmtId="4" fontId="63" fillId="21" borderId="0" xfId="2" applyNumberFormat="1" applyFont="1" applyFill="1" applyAlignment="1">
      <alignment vertical="center"/>
    </xf>
    <xf numFmtId="37" fontId="64" fillId="18" borderId="14" xfId="2" applyFont="1" applyFill="1" applyBorder="1" applyAlignment="1">
      <alignment vertical="center"/>
    </xf>
    <xf numFmtId="168" fontId="23" fillId="2" borderId="14" xfId="2" quotePrefix="1" applyNumberFormat="1" applyFont="1" applyFill="1" applyBorder="1" applyAlignment="1">
      <alignment horizontal="center" vertical="center"/>
    </xf>
    <xf numFmtId="168" fontId="23" fillId="2" borderId="14" xfId="2" applyNumberFormat="1" applyFont="1" applyFill="1" applyBorder="1" applyAlignment="1">
      <alignment horizontal="center" vertical="center"/>
    </xf>
    <xf numFmtId="4" fontId="23" fillId="2" borderId="14" xfId="3" applyNumberFormat="1" applyFont="1" applyFill="1" applyBorder="1" applyAlignment="1" applyProtection="1">
      <alignment vertical="center"/>
    </xf>
    <xf numFmtId="180" fontId="23" fillId="2" borderId="14" xfId="3" quotePrefix="1" applyNumberFormat="1" applyFont="1" applyFill="1" applyBorder="1" applyAlignment="1" applyProtection="1">
      <alignment horizontal="center" vertical="center"/>
    </xf>
    <xf numFmtId="10" fontId="23" fillId="2" borderId="14" xfId="3" quotePrefix="1" applyNumberFormat="1" applyFont="1" applyFill="1" applyBorder="1" applyAlignment="1" applyProtection="1">
      <alignment horizontal="center" vertical="center"/>
    </xf>
    <xf numFmtId="4" fontId="23" fillId="2" borderId="14" xfId="3" quotePrefix="1" applyNumberFormat="1" applyFont="1" applyFill="1" applyBorder="1" applyAlignment="1" applyProtection="1">
      <alignment horizontal="center" vertical="center"/>
    </xf>
    <xf numFmtId="10" fontId="23" fillId="2" borderId="14" xfId="3" applyNumberFormat="1" applyFont="1" applyFill="1" applyBorder="1" applyAlignment="1" applyProtection="1">
      <alignment horizontal="center" vertical="center"/>
    </xf>
    <xf numFmtId="37" fontId="65" fillId="16" borderId="0" xfId="2" applyFont="1" applyFill="1" applyAlignment="1">
      <alignment vertical="top"/>
    </xf>
    <xf numFmtId="168" fontId="14" fillId="2" borderId="14" xfId="2" quotePrefix="1" applyNumberFormat="1" applyFont="1" applyFill="1" applyBorder="1" applyAlignment="1">
      <alignment horizontal="center" vertical="center"/>
    </xf>
    <xf numFmtId="168" fontId="14" fillId="2" borderId="14" xfId="2" applyNumberFormat="1" applyFont="1" applyFill="1" applyBorder="1" applyAlignment="1">
      <alignment horizontal="center" vertical="center"/>
    </xf>
    <xf numFmtId="4" fontId="14" fillId="2" borderId="14" xfId="3" applyNumberFormat="1" applyFont="1" applyFill="1" applyBorder="1" applyAlignment="1" applyProtection="1">
      <alignment vertical="center"/>
    </xf>
    <xf numFmtId="10" fontId="14" fillId="2" borderId="14" xfId="3" applyNumberFormat="1" applyFont="1" applyFill="1" applyBorder="1" applyAlignment="1" applyProtection="1">
      <alignment horizontal="center" vertical="center"/>
    </xf>
    <xf numFmtId="37" fontId="65" fillId="16" borderId="0" xfId="2" applyFont="1" applyFill="1" applyAlignment="1">
      <alignment vertical="center"/>
    </xf>
    <xf numFmtId="4" fontId="65" fillId="16" borderId="0" xfId="2" applyNumberFormat="1" applyFont="1" applyFill="1" applyAlignment="1">
      <alignment vertical="top"/>
    </xf>
    <xf numFmtId="37" fontId="65" fillId="17" borderId="0" xfId="2" applyFont="1" applyFill="1" applyAlignment="1">
      <alignment vertical="top"/>
    </xf>
    <xf numFmtId="37" fontId="65" fillId="17" borderId="0" xfId="2" applyFont="1" applyFill="1" applyAlignment="1">
      <alignment vertical="center"/>
    </xf>
    <xf numFmtId="4" fontId="65" fillId="17" borderId="0" xfId="2" applyNumberFormat="1" applyFont="1" applyFill="1" applyAlignment="1">
      <alignment vertical="top"/>
    </xf>
    <xf numFmtId="4" fontId="5" fillId="0" borderId="0" xfId="3" applyNumberFormat="1" applyFont="1" applyFill="1" applyBorder="1" applyAlignment="1" applyProtection="1">
      <alignment horizontal="center" vertical="center"/>
    </xf>
    <xf numFmtId="37" fontId="5" fillId="0" borderId="18" xfId="4" applyFont="1" applyBorder="1" applyAlignment="1">
      <alignment vertical="center"/>
    </xf>
    <xf numFmtId="14" fontId="14" fillId="0" borderId="18" xfId="4" applyNumberFormat="1" applyFont="1" applyBorder="1" applyAlignment="1">
      <alignment horizontal="left" vertical="center"/>
    </xf>
    <xf numFmtId="37" fontId="9" fillId="2" borderId="0" xfId="2" applyFont="1" applyFill="1"/>
    <xf numFmtId="10" fontId="14" fillId="0" borderId="0" xfId="2" applyNumberFormat="1" applyFont="1" applyAlignment="1">
      <alignment horizontal="center" vertical="center"/>
    </xf>
    <xf numFmtId="37" fontId="14" fillId="0" borderId="22" xfId="2" applyFont="1" applyBorder="1" applyAlignment="1">
      <alignment vertical="center"/>
    </xf>
    <xf numFmtId="37" fontId="14" fillId="0" borderId="31" xfId="2" applyFont="1" applyBorder="1" applyAlignment="1">
      <alignment vertical="center"/>
    </xf>
    <xf numFmtId="37" fontId="14" fillId="0" borderId="32" xfId="2" applyFont="1" applyBorder="1" applyAlignment="1">
      <alignment vertical="center"/>
    </xf>
    <xf numFmtId="10" fontId="14" fillId="0" borderId="0" xfId="2" applyNumberFormat="1" applyFont="1" applyAlignment="1">
      <alignment vertical="center"/>
    </xf>
    <xf numFmtId="10" fontId="5" fillId="0" borderId="9" xfId="0" applyNumberFormat="1" applyFont="1" applyBorder="1" applyAlignment="1">
      <alignment vertical="center"/>
    </xf>
    <xf numFmtId="10" fontId="10" fillId="0" borderId="9" xfId="0" applyNumberFormat="1" applyFont="1" applyBorder="1" applyAlignment="1">
      <alignment vertical="center"/>
    </xf>
    <xf numFmtId="10" fontId="14" fillId="0" borderId="9" xfId="0" applyNumberFormat="1" applyFont="1" applyBorder="1" applyAlignment="1">
      <alignment vertical="center"/>
    </xf>
    <xf numFmtId="37" fontId="23" fillId="0" borderId="16" xfId="2" applyFont="1" applyBorder="1" applyAlignment="1">
      <alignment vertical="center"/>
    </xf>
    <xf numFmtId="37" fontId="23" fillId="0" borderId="29" xfId="2" applyFont="1" applyBorder="1" applyAlignment="1">
      <alignment vertical="center"/>
    </xf>
    <xf numFmtId="37" fontId="23" fillId="0" borderId="30" xfId="2" applyFont="1" applyBorder="1" applyAlignment="1">
      <alignment horizontal="center" vertical="center"/>
    </xf>
    <xf numFmtId="37" fontId="23" fillId="0" borderId="18" xfId="2" applyFont="1" applyBorder="1" applyAlignment="1">
      <alignment vertical="center"/>
    </xf>
    <xf numFmtId="37" fontId="23" fillId="0" borderId="22" xfId="2" applyFont="1" applyBorder="1" applyAlignment="1">
      <alignment horizontal="center" vertical="center" wrapText="1"/>
    </xf>
    <xf numFmtId="37" fontId="23" fillId="0" borderId="32" xfId="2" applyFont="1" applyBorder="1" applyAlignment="1">
      <alignment horizontal="center" vertical="center" wrapText="1"/>
    </xf>
    <xf numFmtId="37" fontId="28" fillId="0" borderId="0" xfId="2" applyFont="1" applyAlignment="1">
      <alignment horizontal="left" vertical="center" wrapText="1"/>
    </xf>
    <xf numFmtId="37" fontId="63" fillId="21" borderId="14" xfId="2" applyFont="1" applyFill="1" applyBorder="1" applyAlignment="1">
      <alignment horizontal="left" vertical="center"/>
    </xf>
    <xf numFmtId="37" fontId="5" fillId="21" borderId="0" xfId="2" applyFont="1" applyFill="1" applyAlignment="1">
      <alignment vertical="center"/>
    </xf>
    <xf numFmtId="4" fontId="5" fillId="21" borderId="0" xfId="2" applyNumberFormat="1" applyFont="1" applyFill="1" applyAlignment="1">
      <alignment vertical="center"/>
    </xf>
    <xf numFmtId="37" fontId="14" fillId="20" borderId="0" xfId="2" applyFont="1" applyFill="1" applyAlignment="1">
      <alignment vertical="center"/>
    </xf>
    <xf numFmtId="1" fontId="51" fillId="20" borderId="14" xfId="0" applyNumberFormat="1" applyFont="1" applyFill="1" applyBorder="1" applyAlignment="1">
      <alignment horizontal="center" vertical="center"/>
    </xf>
    <xf numFmtId="168" fontId="51" fillId="20" borderId="14" xfId="2" applyNumberFormat="1" applyFont="1" applyFill="1" applyBorder="1" applyAlignment="1">
      <alignment horizontal="center" vertical="center"/>
    </xf>
    <xf numFmtId="168" fontId="51" fillId="20" borderId="14" xfId="2" quotePrefix="1" applyNumberFormat="1" applyFont="1" applyFill="1" applyBorder="1" applyAlignment="1">
      <alignment horizontal="center" vertical="center"/>
    </xf>
    <xf numFmtId="4" fontId="51" fillId="20" borderId="14" xfId="3" applyNumberFormat="1" applyFont="1" applyFill="1" applyBorder="1" applyAlignment="1" applyProtection="1">
      <alignment vertical="center"/>
    </xf>
    <xf numFmtId="180" fontId="51" fillId="20" borderId="14" xfId="3" applyNumberFormat="1" applyFont="1" applyFill="1" applyBorder="1" applyAlignment="1" applyProtection="1">
      <alignment horizontal="center" vertical="center"/>
    </xf>
    <xf numFmtId="10" fontId="51" fillId="20" borderId="14" xfId="3" applyNumberFormat="1" applyFont="1" applyFill="1" applyBorder="1" applyAlignment="1" applyProtection="1">
      <alignment horizontal="center" vertical="center"/>
    </xf>
    <xf numFmtId="4" fontId="51" fillId="20" borderId="14" xfId="3" applyNumberFormat="1" applyFont="1" applyFill="1" applyBorder="1" applyAlignment="1" applyProtection="1">
      <alignment horizontal="center" vertical="center"/>
    </xf>
    <xf numFmtId="37" fontId="14" fillId="20" borderId="14" xfId="2" applyFont="1" applyFill="1" applyBorder="1" applyAlignment="1">
      <alignment horizontal="left" vertical="center"/>
    </xf>
    <xf numFmtId="37" fontId="5" fillId="20" borderId="0" xfId="2" applyFont="1" applyFill="1" applyAlignment="1">
      <alignment vertical="center"/>
    </xf>
    <xf numFmtId="4" fontId="5" fillId="20" borderId="0" xfId="2" applyNumberFormat="1" applyFont="1" applyFill="1" applyAlignment="1">
      <alignment vertical="center"/>
    </xf>
    <xf numFmtId="168" fontId="52" fillId="0" borderId="14" xfId="2" quotePrefix="1" applyNumberFormat="1" applyFont="1" applyBorder="1" applyAlignment="1">
      <alignment horizontal="center" vertical="center"/>
    </xf>
    <xf numFmtId="168" fontId="52" fillId="0" borderId="14" xfId="2" applyNumberFormat="1" applyFont="1" applyBorder="1" applyAlignment="1">
      <alignment horizontal="center" vertical="center"/>
    </xf>
    <xf numFmtId="4" fontId="52" fillId="0" borderId="14" xfId="3" applyNumberFormat="1" applyFont="1" applyFill="1" applyBorder="1" applyAlignment="1" applyProtection="1">
      <alignment vertical="center"/>
    </xf>
    <xf numFmtId="0" fontId="23" fillId="0" borderId="18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30" xfId="0" applyFont="1" applyBorder="1" applyAlignment="1">
      <alignment vertical="center"/>
    </xf>
    <xf numFmtId="4" fontId="23" fillId="0" borderId="0" xfId="0" applyNumberFormat="1" applyFont="1" applyAlignment="1">
      <alignment vertical="center"/>
    </xf>
    <xf numFmtId="10" fontId="23" fillId="0" borderId="0" xfId="0" applyNumberFormat="1" applyFont="1" applyAlignment="1">
      <alignment vertical="center"/>
    </xf>
    <xf numFmtId="0" fontId="23" fillId="0" borderId="20" xfId="0" applyFont="1" applyBorder="1" applyAlignment="1">
      <alignment vertical="center"/>
    </xf>
    <xf numFmtId="1" fontId="9" fillId="0" borderId="18" xfId="0" applyNumberFormat="1" applyFont="1" applyBorder="1" applyAlignment="1">
      <alignment horizontal="left" vertical="center"/>
    </xf>
    <xf numFmtId="168" fontId="9" fillId="0" borderId="0" xfId="2" quotePrefix="1" applyNumberFormat="1" applyFont="1" applyAlignment="1">
      <alignment horizontal="center" vertical="center"/>
    </xf>
    <xf numFmtId="168" fontId="9" fillId="0" borderId="0" xfId="2" applyNumberFormat="1" applyFont="1" applyAlignment="1">
      <alignment horizontal="center" vertical="center"/>
    </xf>
    <xf numFmtId="4" fontId="9" fillId="0" borderId="0" xfId="3" applyNumberFormat="1" applyFont="1" applyFill="1" applyBorder="1" applyAlignment="1" applyProtection="1">
      <alignment vertical="center"/>
    </xf>
    <xf numFmtId="172" fontId="9" fillId="0" borderId="20" xfId="3" applyNumberFormat="1" applyFont="1" applyFill="1" applyBorder="1" applyAlignment="1" applyProtection="1">
      <alignment horizontal="center" vertical="center"/>
    </xf>
    <xf numFmtId="4" fontId="9" fillId="0" borderId="0" xfId="3" applyNumberFormat="1" applyFont="1" applyFill="1" applyBorder="1" applyAlignment="1" applyProtection="1">
      <alignment horizontal="center" vertical="center"/>
    </xf>
    <xf numFmtId="10" fontId="9" fillId="0" borderId="0" xfId="3" applyNumberFormat="1" applyFont="1" applyFill="1" applyBorder="1" applyAlignment="1" applyProtection="1">
      <alignment horizontal="center" vertical="center"/>
    </xf>
    <xf numFmtId="37" fontId="8" fillId="2" borderId="0" xfId="2" applyFont="1" applyFill="1"/>
    <xf numFmtId="37" fontId="8" fillId="0" borderId="18" xfId="4" applyFont="1" applyBorder="1" applyAlignment="1">
      <alignment vertical="center"/>
    </xf>
    <xf numFmtId="37" fontId="8" fillId="0" borderId="0" xfId="4" applyFont="1" applyAlignment="1">
      <alignment vertical="center"/>
    </xf>
    <xf numFmtId="37" fontId="8" fillId="0" borderId="20" xfId="4" applyFont="1" applyBorder="1" applyAlignment="1">
      <alignment vertical="center"/>
    </xf>
    <xf numFmtId="4" fontId="8" fillId="0" borderId="0" xfId="4" applyNumberFormat="1" applyFont="1" applyAlignment="1">
      <alignment vertical="center"/>
    </xf>
    <xf numFmtId="10" fontId="8" fillId="0" borderId="0" xfId="4" applyNumberFormat="1" applyFont="1" applyAlignment="1">
      <alignment vertical="center"/>
    </xf>
    <xf numFmtId="37" fontId="8" fillId="2" borderId="0" xfId="4" applyFont="1" applyFill="1" applyAlignment="1">
      <alignment vertical="center"/>
    </xf>
    <xf numFmtId="4" fontId="8" fillId="2" borderId="0" xfId="2" applyNumberFormat="1" applyFont="1" applyFill="1"/>
    <xf numFmtId="14" fontId="9" fillId="0" borderId="18" xfId="4" applyNumberFormat="1" applyFont="1" applyBorder="1" applyAlignment="1">
      <alignment horizontal="left" vertical="center"/>
    </xf>
    <xf numFmtId="37" fontId="9" fillId="0" borderId="0" xfId="4" applyFont="1" applyAlignment="1">
      <alignment vertical="center"/>
    </xf>
    <xf numFmtId="37" fontId="9" fillId="0" borderId="20" xfId="4" applyFont="1" applyBorder="1" applyAlignment="1">
      <alignment vertical="center"/>
    </xf>
    <xf numFmtId="4" fontId="9" fillId="0" borderId="0" xfId="4" applyNumberFormat="1" applyFont="1" applyAlignment="1">
      <alignment vertical="center"/>
    </xf>
    <xf numFmtId="10" fontId="9" fillId="0" borderId="0" xfId="4" applyNumberFormat="1" applyFont="1" applyAlignment="1">
      <alignment vertical="center"/>
    </xf>
    <xf numFmtId="37" fontId="9" fillId="0" borderId="18" xfId="2" applyFont="1" applyBorder="1" applyAlignment="1">
      <alignment vertical="center"/>
    </xf>
    <xf numFmtId="37" fontId="9" fillId="0" borderId="0" xfId="2" applyFont="1" applyAlignment="1">
      <alignment vertical="center"/>
    </xf>
    <xf numFmtId="4" fontId="9" fillId="0" borderId="0" xfId="2" applyNumberFormat="1" applyFont="1" applyAlignment="1">
      <alignment horizontal="center" vertical="center"/>
    </xf>
    <xf numFmtId="10" fontId="9" fillId="0" borderId="0" xfId="2" applyNumberFormat="1" applyFont="1" applyAlignment="1">
      <alignment horizontal="center" vertical="center"/>
    </xf>
    <xf numFmtId="37" fontId="9" fillId="0" borderId="0" xfId="2" applyFont="1" applyAlignment="1">
      <alignment horizontal="center" vertical="center"/>
    </xf>
    <xf numFmtId="10" fontId="16" fillId="0" borderId="9" xfId="0" applyNumberFormat="1" applyFont="1" applyBorder="1" applyAlignment="1">
      <alignment vertical="center"/>
    </xf>
    <xf numFmtId="37" fontId="14" fillId="0" borderId="16" xfId="2" applyFont="1" applyBorder="1" applyAlignment="1">
      <alignment vertical="center"/>
    </xf>
    <xf numFmtId="37" fontId="14" fillId="0" borderId="29" xfId="2" applyFont="1" applyBorder="1" applyAlignment="1">
      <alignment vertical="center"/>
    </xf>
    <xf numFmtId="37" fontId="14" fillId="0" borderId="30" xfId="2" applyFont="1" applyBorder="1" applyAlignment="1">
      <alignment horizontal="center" vertical="center"/>
    </xf>
    <xf numFmtId="10" fontId="14" fillId="0" borderId="0" xfId="2" applyNumberFormat="1" applyFont="1" applyAlignment="1">
      <alignment horizontal="center" vertical="center" wrapText="1"/>
    </xf>
    <xf numFmtId="37" fontId="14" fillId="0" borderId="22" xfId="2" applyFont="1" applyBorder="1" applyAlignment="1">
      <alignment horizontal="center" vertical="center" wrapText="1"/>
    </xf>
    <xf numFmtId="37" fontId="14" fillId="0" borderId="32" xfId="2" applyFont="1" applyBorder="1" applyAlignment="1">
      <alignment horizontal="center" vertical="center" wrapText="1"/>
    </xf>
    <xf numFmtId="37" fontId="66" fillId="2" borderId="0" xfId="2" applyFont="1" applyFill="1" applyAlignment="1">
      <alignment vertical="center"/>
    </xf>
    <xf numFmtId="1" fontId="64" fillId="21" borderId="14" xfId="0" applyNumberFormat="1" applyFont="1" applyFill="1" applyBorder="1" applyAlignment="1">
      <alignment horizontal="left" vertical="center"/>
    </xf>
    <xf numFmtId="37" fontId="54" fillId="21" borderId="0" xfId="2" applyFont="1" applyFill="1" applyAlignment="1">
      <alignment vertical="center"/>
    </xf>
    <xf numFmtId="1" fontId="23" fillId="20" borderId="14" xfId="0" applyNumberFormat="1" applyFont="1" applyFill="1" applyBorder="1" applyAlignment="1">
      <alignment horizontal="center" vertical="center"/>
    </xf>
    <xf numFmtId="168" fontId="14" fillId="20" borderId="14" xfId="2" applyNumberFormat="1" applyFont="1" applyFill="1" applyBorder="1" applyAlignment="1">
      <alignment horizontal="center" vertical="center"/>
    </xf>
    <xf numFmtId="180" fontId="23" fillId="20" borderId="14" xfId="3" applyNumberFormat="1" applyFont="1" applyFill="1" applyBorder="1" applyAlignment="1" applyProtection="1">
      <alignment horizontal="center" vertical="center"/>
    </xf>
    <xf numFmtId="10" fontId="23" fillId="20" borderId="14" xfId="3" applyNumberFormat="1" applyFont="1" applyFill="1" applyBorder="1" applyAlignment="1" applyProtection="1">
      <alignment horizontal="center" vertical="center"/>
    </xf>
    <xf numFmtId="4" fontId="23" fillId="20" borderId="14" xfId="3" applyNumberFormat="1" applyFont="1" applyFill="1" applyBorder="1" applyAlignment="1" applyProtection="1">
      <alignment horizontal="center" vertical="center"/>
    </xf>
    <xf numFmtId="1" fontId="22" fillId="21" borderId="14" xfId="0" applyNumberFormat="1" applyFont="1" applyFill="1" applyBorder="1" applyAlignment="1">
      <alignment horizontal="left" vertical="center"/>
    </xf>
    <xf numFmtId="37" fontId="14" fillId="16" borderId="0" xfId="2" applyFont="1" applyFill="1" applyAlignment="1">
      <alignment vertical="center"/>
    </xf>
    <xf numFmtId="1" fontId="64" fillId="16" borderId="14" xfId="0" applyNumberFormat="1" applyFont="1" applyFill="1" applyBorder="1" applyAlignment="1">
      <alignment horizontal="left" vertical="center"/>
    </xf>
    <xf numFmtId="37" fontId="63" fillId="16" borderId="0" xfId="2" applyFont="1" applyFill="1" applyAlignment="1">
      <alignment vertical="center"/>
    </xf>
    <xf numFmtId="4" fontId="14" fillId="16" borderId="0" xfId="2" applyNumberFormat="1" applyFont="1" applyFill="1" applyAlignment="1">
      <alignment vertical="center"/>
    </xf>
    <xf numFmtId="172" fontId="51" fillId="20" borderId="14" xfId="3" applyNumberFormat="1" applyFont="1" applyFill="1" applyBorder="1" applyAlignment="1" applyProtection="1">
      <alignment horizontal="center" vertical="center"/>
    </xf>
    <xf numFmtId="1" fontId="22" fillId="20" borderId="14" xfId="0" applyNumberFormat="1" applyFont="1" applyFill="1" applyBorder="1" applyAlignment="1">
      <alignment horizontal="left" vertical="center"/>
    </xf>
    <xf numFmtId="37" fontId="54" fillId="20" borderId="0" xfId="2" applyFont="1" applyFill="1" applyAlignment="1">
      <alignment vertical="center"/>
    </xf>
    <xf numFmtId="4" fontId="14" fillId="20" borderId="0" xfId="2" applyNumberFormat="1" applyFont="1" applyFill="1" applyAlignment="1">
      <alignment vertical="center"/>
    </xf>
    <xf numFmtId="37" fontId="64" fillId="2" borderId="14" xfId="2" applyFont="1" applyFill="1" applyBorder="1" applyAlignment="1">
      <alignment horizontal="left" vertical="center"/>
    </xf>
    <xf numFmtId="1" fontId="55" fillId="16" borderId="14" xfId="0" applyNumberFormat="1" applyFont="1" applyFill="1" applyBorder="1" applyAlignment="1">
      <alignment horizontal="center" vertical="center"/>
    </xf>
    <xf numFmtId="4" fontId="51" fillId="16" borderId="14" xfId="3" applyNumberFormat="1" applyFont="1" applyFill="1" applyBorder="1" applyAlignment="1" applyProtection="1">
      <alignment vertical="center"/>
    </xf>
    <xf numFmtId="10" fontId="14" fillId="16" borderId="14" xfId="3" quotePrefix="1" applyNumberFormat="1" applyFont="1" applyFill="1" applyBorder="1" applyAlignment="1" applyProtection="1">
      <alignment horizontal="center" vertical="center"/>
    </xf>
    <xf numFmtId="4" fontId="14" fillId="16" borderId="14" xfId="3" quotePrefix="1" applyNumberFormat="1" applyFont="1" applyFill="1" applyBorder="1" applyAlignment="1" applyProtection="1">
      <alignment horizontal="center" vertical="center"/>
    </xf>
    <xf numFmtId="4" fontId="56" fillId="16" borderId="14" xfId="3" applyNumberFormat="1" applyFont="1" applyFill="1" applyBorder="1" applyAlignment="1" applyProtection="1">
      <alignment vertical="center"/>
    </xf>
    <xf numFmtId="37" fontId="9" fillId="2" borderId="0" xfId="2" applyFont="1" applyFill="1" applyAlignment="1">
      <alignment horizontal="left" vertical="center"/>
    </xf>
    <xf numFmtId="1" fontId="64" fillId="20" borderId="14" xfId="0" applyNumberFormat="1" applyFont="1" applyFill="1" applyBorder="1" applyAlignment="1">
      <alignment horizontal="left" vertical="center"/>
    </xf>
    <xf numFmtId="37" fontId="63" fillId="21" borderId="0" xfId="2" applyFont="1" applyFill="1" applyAlignment="1">
      <alignment vertical="center"/>
    </xf>
    <xf numFmtId="1" fontId="22" fillId="2" borderId="14" xfId="0" applyNumberFormat="1" applyFont="1" applyFill="1" applyBorder="1" applyAlignment="1">
      <alignment horizontal="left" vertical="center"/>
    </xf>
    <xf numFmtId="37" fontId="12" fillId="0" borderId="18" xfId="4" applyFont="1" applyBorder="1" applyAlignment="1">
      <alignment vertical="center"/>
    </xf>
    <xf numFmtId="37" fontId="12" fillId="0" borderId="0" xfId="4" applyFont="1" applyAlignment="1">
      <alignment vertical="center"/>
    </xf>
    <xf numFmtId="37" fontId="12" fillId="0" borderId="20" xfId="4" applyFont="1" applyBorder="1" applyAlignment="1">
      <alignment vertical="center"/>
    </xf>
    <xf numFmtId="4" fontId="12" fillId="0" borderId="0" xfId="4" applyNumberFormat="1" applyFont="1" applyAlignment="1">
      <alignment vertical="center"/>
    </xf>
    <xf numFmtId="10" fontId="12" fillId="0" borderId="0" xfId="4" applyNumberFormat="1" applyFont="1" applyAlignment="1">
      <alignment vertical="center"/>
    </xf>
    <xf numFmtId="14" fontId="22" fillId="0" borderId="18" xfId="4" applyNumberFormat="1" applyFont="1" applyBorder="1" applyAlignment="1">
      <alignment horizontal="left" vertical="center"/>
    </xf>
    <xf numFmtId="37" fontId="22" fillId="0" borderId="0" xfId="4" applyFont="1" applyAlignment="1">
      <alignment vertical="center"/>
    </xf>
    <xf numFmtId="37" fontId="22" fillId="0" borderId="20" xfId="4" applyFont="1" applyBorder="1" applyAlignment="1">
      <alignment vertical="center"/>
    </xf>
    <xf numFmtId="4" fontId="22" fillId="0" borderId="0" xfId="4" applyNumberFormat="1" applyFont="1" applyAlignment="1">
      <alignment vertical="center"/>
    </xf>
    <xf numFmtId="10" fontId="22" fillId="0" borderId="0" xfId="4" applyNumberFormat="1" applyFont="1" applyAlignment="1">
      <alignment vertical="center"/>
    </xf>
    <xf numFmtId="37" fontId="8" fillId="0" borderId="18" xfId="2" applyFont="1" applyBorder="1" applyAlignment="1">
      <alignment vertical="center"/>
    </xf>
    <xf numFmtId="37" fontId="8" fillId="0" borderId="0" xfId="2" applyFont="1" applyAlignment="1">
      <alignment vertical="center"/>
    </xf>
    <xf numFmtId="4" fontId="18" fillId="0" borderId="0" xfId="2" applyNumberFormat="1" applyFont="1" applyAlignment="1">
      <alignment horizontal="center" vertical="center" wrapText="1"/>
    </xf>
    <xf numFmtId="10" fontId="18" fillId="0" borderId="0" xfId="2" applyNumberFormat="1" applyFont="1" applyAlignment="1">
      <alignment horizontal="center" vertical="center" wrapText="1"/>
    </xf>
    <xf numFmtId="39" fontId="26" fillId="0" borderId="0" xfId="2" applyNumberFormat="1" applyFont="1" applyAlignment="1">
      <alignment horizontal="right" vertical="center"/>
    </xf>
    <xf numFmtId="1" fontId="14" fillId="14" borderId="14" xfId="0" applyNumberFormat="1" applyFont="1" applyFill="1" applyBorder="1" applyAlignment="1">
      <alignment horizontal="center" vertical="center"/>
    </xf>
    <xf numFmtId="4" fontId="14" fillId="14" borderId="14" xfId="3" applyNumberFormat="1" applyFont="1" applyFill="1" applyBorder="1" applyAlignment="1" applyProtection="1">
      <alignment vertical="center"/>
    </xf>
    <xf numFmtId="180" fontId="14" fillId="14" borderId="14" xfId="3" applyNumberFormat="1" applyFont="1" applyFill="1" applyBorder="1" applyAlignment="1" applyProtection="1">
      <alignment horizontal="center" vertical="center"/>
    </xf>
    <xf numFmtId="4" fontId="14" fillId="14" borderId="14" xfId="3" applyNumberFormat="1" applyFont="1" applyFill="1" applyBorder="1" applyAlignment="1" applyProtection="1">
      <alignment horizontal="center" vertical="center"/>
    </xf>
    <xf numFmtId="10" fontId="14" fillId="14" borderId="14" xfId="3" applyNumberFormat="1" applyFont="1" applyFill="1" applyBorder="1" applyAlignment="1" applyProtection="1">
      <alignment horizontal="center" vertical="center"/>
    </xf>
    <xf numFmtId="1" fontId="63" fillId="15" borderId="14" xfId="0" applyNumberFormat="1" applyFont="1" applyFill="1" applyBorder="1" applyAlignment="1">
      <alignment horizontal="center" vertical="center"/>
    </xf>
    <xf numFmtId="1" fontId="14" fillId="20" borderId="14" xfId="0" applyNumberFormat="1" applyFont="1" applyFill="1" applyBorder="1" applyAlignment="1">
      <alignment horizontal="center" vertical="center"/>
    </xf>
    <xf numFmtId="168" fontId="14" fillId="20" borderId="14" xfId="2" quotePrefix="1" applyNumberFormat="1" applyFont="1" applyFill="1" applyBorder="1" applyAlignment="1">
      <alignment horizontal="center" vertical="center"/>
    </xf>
    <xf numFmtId="4" fontId="14" fillId="20" borderId="14" xfId="3" applyNumberFormat="1" applyFont="1" applyFill="1" applyBorder="1" applyAlignment="1" applyProtection="1">
      <alignment vertical="center"/>
    </xf>
    <xf numFmtId="180" fontId="14" fillId="20" borderId="14" xfId="3" applyNumberFormat="1" applyFont="1" applyFill="1" applyBorder="1" applyAlignment="1" applyProtection="1">
      <alignment horizontal="center" vertical="center"/>
    </xf>
    <xf numFmtId="1" fontId="14" fillId="12" borderId="14" xfId="0" applyNumberFormat="1" applyFont="1" applyFill="1" applyBorder="1" applyAlignment="1">
      <alignment horizontal="center" vertical="center"/>
    </xf>
    <xf numFmtId="1" fontId="26" fillId="0" borderId="0" xfId="0" applyNumberFormat="1" applyFont="1" applyAlignment="1">
      <alignment horizontal="left" vertical="center"/>
    </xf>
    <xf numFmtId="4" fontId="5" fillId="20" borderId="14" xfId="3" applyNumberFormat="1" applyFont="1" applyFill="1" applyBorder="1" applyAlignment="1" applyProtection="1">
      <alignment horizontal="center" vertical="center"/>
    </xf>
    <xf numFmtId="1" fontId="14" fillId="0" borderId="16" xfId="2" applyNumberFormat="1" applyFont="1" applyBorder="1" applyAlignment="1">
      <alignment horizontal="left" vertical="center"/>
    </xf>
    <xf numFmtId="4" fontId="26" fillId="0" borderId="29" xfId="3" applyNumberFormat="1" applyFont="1" applyFill="1" applyBorder="1" applyAlignment="1" applyProtection="1">
      <alignment vertical="center"/>
    </xf>
    <xf numFmtId="1" fontId="14" fillId="0" borderId="18" xfId="2" applyNumberFormat="1" applyFont="1" applyBorder="1" applyAlignment="1">
      <alignment horizontal="left" vertical="center"/>
    </xf>
    <xf numFmtId="168" fontId="14" fillId="14" borderId="14" xfId="2" quotePrefix="1" applyNumberFormat="1" applyFont="1" applyFill="1" applyBorder="1" applyAlignment="1">
      <alignment horizontal="center" vertical="center"/>
    </xf>
    <xf numFmtId="1" fontId="63" fillId="0" borderId="14" xfId="0" applyNumberFormat="1" applyFont="1" applyBorder="1" applyAlignment="1">
      <alignment horizontal="center" vertical="center"/>
    </xf>
    <xf numFmtId="1" fontId="14" fillId="17" borderId="14" xfId="0" applyNumberFormat="1" applyFont="1" applyFill="1" applyBorder="1" applyAlignment="1">
      <alignment horizontal="center" vertical="center"/>
    </xf>
    <xf numFmtId="4" fontId="14" fillId="17" borderId="0" xfId="2" applyNumberFormat="1" applyFont="1" applyFill="1" applyAlignment="1">
      <alignment vertical="center"/>
    </xf>
    <xf numFmtId="1" fontId="26" fillId="0" borderId="18" xfId="2" applyNumberFormat="1" applyFont="1" applyBorder="1" applyAlignment="1">
      <alignment horizontal="left" vertical="center"/>
    </xf>
    <xf numFmtId="37" fontId="8" fillId="2" borderId="0" xfId="2" applyFont="1" applyFill="1" applyAlignment="1">
      <alignment vertical="center"/>
    </xf>
    <xf numFmtId="37" fontId="9" fillId="0" borderId="16" xfId="4" applyFont="1" applyBorder="1" applyAlignment="1">
      <alignment vertical="center"/>
    </xf>
    <xf numFmtId="37" fontId="9" fillId="0" borderId="29" xfId="4" applyFont="1" applyBorder="1" applyAlignment="1">
      <alignment vertical="center"/>
    </xf>
    <xf numFmtId="37" fontId="9" fillId="0" borderId="30" xfId="4" applyFont="1" applyBorder="1" applyAlignment="1">
      <alignment vertical="center"/>
    </xf>
    <xf numFmtId="37" fontId="9" fillId="2" borderId="0" xfId="4" applyFont="1" applyFill="1" applyAlignment="1">
      <alignment vertical="center"/>
    </xf>
    <xf numFmtId="37" fontId="9" fillId="0" borderId="20" xfId="2" applyFont="1" applyBorder="1" applyAlignment="1">
      <alignment vertical="center"/>
    </xf>
    <xf numFmtId="4" fontId="9" fillId="0" borderId="0" xfId="2" applyNumberFormat="1" applyFont="1" applyAlignment="1">
      <alignment vertical="center"/>
    </xf>
    <xf numFmtId="10" fontId="9" fillId="0" borderId="0" xfId="2" applyNumberFormat="1" applyFont="1" applyAlignment="1">
      <alignment vertical="center"/>
    </xf>
    <xf numFmtId="37" fontId="9" fillId="0" borderId="31" xfId="2" applyFont="1" applyBorder="1" applyAlignment="1">
      <alignment vertical="center"/>
    </xf>
    <xf numFmtId="37" fontId="5" fillId="0" borderId="0" xfId="2" applyFont="1" applyAlignment="1">
      <alignment vertical="center"/>
    </xf>
    <xf numFmtId="1" fontId="14" fillId="14" borderId="34" xfId="0" applyNumberFormat="1" applyFont="1" applyFill="1" applyBorder="1" applyAlignment="1">
      <alignment horizontal="center" vertical="center"/>
    </xf>
    <xf numFmtId="180" fontId="14" fillId="14" borderId="35" xfId="3" quotePrefix="1" applyNumberFormat="1" applyFont="1" applyFill="1" applyBorder="1" applyAlignment="1" applyProtection="1">
      <alignment horizontal="center" vertical="center"/>
    </xf>
    <xf numFmtId="4" fontId="14" fillId="14" borderId="35" xfId="3" quotePrefix="1" applyNumberFormat="1" applyFont="1" applyFill="1" applyBorder="1" applyAlignment="1" applyProtection="1">
      <alignment horizontal="center" vertical="center"/>
    </xf>
    <xf numFmtId="10" fontId="14" fillId="14" borderId="35" xfId="3" quotePrefix="1" applyNumberFormat="1" applyFont="1" applyFill="1" applyBorder="1" applyAlignment="1" applyProtection="1">
      <alignment horizontal="center" vertical="center"/>
    </xf>
    <xf numFmtId="1" fontId="63" fillId="2" borderId="14" xfId="0" applyNumberFormat="1" applyFont="1" applyFill="1" applyBorder="1" applyAlignment="1">
      <alignment horizontal="center" vertical="center"/>
    </xf>
    <xf numFmtId="1" fontId="51" fillId="20" borderId="34" xfId="0" applyNumberFormat="1" applyFont="1" applyFill="1" applyBorder="1" applyAlignment="1">
      <alignment horizontal="center" vertical="center"/>
    </xf>
    <xf numFmtId="168" fontId="23" fillId="20" borderId="35" xfId="2" applyNumberFormat="1" applyFont="1" applyFill="1" applyBorder="1" applyAlignment="1">
      <alignment horizontal="center" vertical="center"/>
    </xf>
    <xf numFmtId="180" fontId="23" fillId="20" borderId="35" xfId="3" quotePrefix="1" applyNumberFormat="1" applyFont="1" applyFill="1" applyBorder="1" applyAlignment="1" applyProtection="1">
      <alignment horizontal="center" vertical="center"/>
    </xf>
    <xf numFmtId="10" fontId="23" fillId="20" borderId="35" xfId="3" quotePrefix="1" applyNumberFormat="1" applyFont="1" applyFill="1" applyBorder="1" applyAlignment="1" applyProtection="1">
      <alignment horizontal="center" vertical="center"/>
    </xf>
    <xf numFmtId="4" fontId="23" fillId="20" borderId="35" xfId="3" quotePrefix="1" applyNumberFormat="1" applyFont="1" applyFill="1" applyBorder="1" applyAlignment="1" applyProtection="1">
      <alignment horizontal="center" vertical="center"/>
    </xf>
    <xf numFmtId="1" fontId="23" fillId="2" borderId="14" xfId="0" applyNumberFormat="1" applyFont="1" applyFill="1" applyBorder="1" applyAlignment="1">
      <alignment horizontal="center" vertical="center"/>
    </xf>
    <xf numFmtId="180" fontId="14" fillId="16" borderId="35" xfId="3" quotePrefix="1" applyNumberFormat="1" applyFont="1" applyFill="1" applyBorder="1" applyAlignment="1" applyProtection="1">
      <alignment horizontal="center" vertical="center"/>
    </xf>
    <xf numFmtId="10" fontId="14" fillId="16" borderId="35" xfId="3" quotePrefix="1" applyNumberFormat="1" applyFont="1" applyFill="1" applyBorder="1" applyAlignment="1" applyProtection="1">
      <alignment horizontal="center" vertical="center"/>
    </xf>
    <xf numFmtId="4" fontId="14" fillId="16" borderId="35" xfId="3" quotePrefix="1" applyNumberFormat="1" applyFont="1" applyFill="1" applyBorder="1" applyAlignment="1" applyProtection="1">
      <alignment horizontal="center" vertical="center"/>
    </xf>
    <xf numFmtId="4" fontId="63" fillId="2" borderId="0" xfId="2" applyNumberFormat="1" applyFont="1" applyFill="1" applyAlignment="1">
      <alignment vertical="center"/>
    </xf>
    <xf numFmtId="1" fontId="14" fillId="16" borderId="34" xfId="2" applyNumberFormat="1" applyFont="1" applyFill="1" applyBorder="1" applyAlignment="1">
      <alignment horizontal="center" vertical="center"/>
    </xf>
    <xf numFmtId="172" fontId="14" fillId="16" borderId="35" xfId="3" applyNumberFormat="1" applyFont="1" applyFill="1" applyBorder="1" applyAlignment="1" applyProtection="1">
      <alignment horizontal="center" vertical="center"/>
    </xf>
    <xf numFmtId="10" fontId="14" fillId="16" borderId="35" xfId="3" applyNumberFormat="1" applyFont="1" applyFill="1" applyBorder="1" applyAlignment="1" applyProtection="1">
      <alignment horizontal="center" vertical="center"/>
    </xf>
    <xf numFmtId="4" fontId="14" fillId="16" borderId="35" xfId="3" applyNumberFormat="1" applyFont="1" applyFill="1" applyBorder="1" applyAlignment="1" applyProtection="1">
      <alignment horizontal="center" vertical="center"/>
    </xf>
    <xf numFmtId="1" fontId="23" fillId="16" borderId="34" xfId="0" applyNumberFormat="1" applyFont="1" applyFill="1" applyBorder="1" applyAlignment="1">
      <alignment horizontal="center" vertical="center"/>
    </xf>
    <xf numFmtId="168" fontId="14" fillId="16" borderId="11" xfId="2" applyNumberFormat="1" applyFont="1" applyFill="1" applyBorder="1" applyAlignment="1">
      <alignment horizontal="center" vertical="center"/>
    </xf>
    <xf numFmtId="168" fontId="14" fillId="16" borderId="11" xfId="2" quotePrefix="1" applyNumberFormat="1" applyFont="1" applyFill="1" applyBorder="1" applyAlignment="1">
      <alignment horizontal="center" vertical="center"/>
    </xf>
    <xf numFmtId="10" fontId="23" fillId="16" borderId="14" xfId="3" quotePrefix="1" applyNumberFormat="1" applyFont="1" applyFill="1" applyBorder="1" applyAlignment="1" applyProtection="1">
      <alignment horizontal="center" vertical="center"/>
    </xf>
    <xf numFmtId="4" fontId="23" fillId="16" borderId="14" xfId="3" quotePrefix="1" applyNumberFormat="1" applyFont="1" applyFill="1" applyBorder="1" applyAlignment="1" applyProtection="1">
      <alignment horizontal="center" vertical="center"/>
    </xf>
    <xf numFmtId="1" fontId="14" fillId="2" borderId="34" xfId="0" applyNumberFormat="1" applyFont="1" applyFill="1" applyBorder="1" applyAlignment="1">
      <alignment horizontal="left" vertical="center"/>
    </xf>
    <xf numFmtId="168" fontId="14" fillId="2" borderId="31" xfId="2" applyNumberFormat="1" applyFont="1" applyFill="1" applyBorder="1" applyAlignment="1">
      <alignment horizontal="center" vertical="center"/>
    </xf>
    <xf numFmtId="4" fontId="26" fillId="2" borderId="33" xfId="3" applyNumberFormat="1" applyFont="1" applyFill="1" applyBorder="1" applyAlignment="1" applyProtection="1">
      <alignment vertical="center"/>
    </xf>
    <xf numFmtId="180" fontId="23" fillId="2" borderId="35" xfId="3" quotePrefix="1" applyNumberFormat="1" applyFont="1" applyFill="1" applyBorder="1" applyAlignment="1" applyProtection="1">
      <alignment horizontal="center" vertical="center"/>
    </xf>
    <xf numFmtId="10" fontId="23" fillId="2" borderId="0" xfId="3" quotePrefix="1" applyNumberFormat="1" applyFont="1" applyFill="1" applyBorder="1" applyAlignment="1" applyProtection="1">
      <alignment horizontal="center" vertical="center"/>
    </xf>
    <xf numFmtId="4" fontId="23" fillId="2" borderId="0" xfId="3" quotePrefix="1" applyNumberFormat="1" applyFont="1" applyFill="1" applyBorder="1" applyAlignment="1" applyProtection="1">
      <alignment horizontal="center" vertical="center"/>
    </xf>
    <xf numFmtId="1" fontId="23" fillId="2" borderId="0" xfId="0" applyNumberFormat="1" applyFont="1" applyFill="1" applyAlignment="1">
      <alignment horizontal="center" vertical="center"/>
    </xf>
    <xf numFmtId="1" fontId="51" fillId="2" borderId="34" xfId="0" applyNumberFormat="1" applyFont="1" applyFill="1" applyBorder="1" applyAlignment="1">
      <alignment horizontal="center" vertical="center"/>
    </xf>
    <xf numFmtId="4" fontId="51" fillId="2" borderId="33" xfId="3" applyNumberFormat="1" applyFont="1" applyFill="1" applyBorder="1" applyAlignment="1" applyProtection="1">
      <alignment vertical="center"/>
    </xf>
    <xf numFmtId="1" fontId="5" fillId="0" borderId="34" xfId="0" applyNumberFormat="1" applyFont="1" applyBorder="1" applyAlignment="1">
      <alignment horizontal="center" vertical="center"/>
    </xf>
    <xf numFmtId="43" fontId="60" fillId="0" borderId="35" xfId="5" applyFont="1" applyFill="1" applyBorder="1" applyAlignment="1" applyProtection="1">
      <alignment horizontal="center" vertical="center"/>
    </xf>
    <xf numFmtId="10" fontId="60" fillId="0" borderId="0" xfId="5" applyNumberFormat="1" applyFont="1" applyFill="1" applyBorder="1" applyAlignment="1" applyProtection="1">
      <alignment horizontal="center" vertical="center"/>
    </xf>
    <xf numFmtId="4" fontId="60" fillId="0" borderId="0" xfId="5" applyNumberFormat="1" applyFont="1" applyFill="1" applyBorder="1" applyAlignment="1" applyProtection="1">
      <alignment horizontal="center" vertical="center"/>
    </xf>
    <xf numFmtId="10" fontId="14" fillId="0" borderId="0" xfId="3" applyNumberFormat="1" applyFont="1" applyFill="1" applyBorder="1" applyAlignment="1" applyProtection="1">
      <alignment vertical="center"/>
    </xf>
    <xf numFmtId="4" fontId="28" fillId="0" borderId="32" xfId="3" applyNumberFormat="1" applyFont="1" applyFill="1" applyBorder="1" applyAlignment="1" applyProtection="1">
      <alignment vertical="center"/>
    </xf>
    <xf numFmtId="10" fontId="23" fillId="0" borderId="0" xfId="2" applyNumberFormat="1" applyFont="1" applyAlignment="1">
      <alignment vertical="center"/>
    </xf>
    <xf numFmtId="4" fontId="23" fillId="0" borderId="0" xfId="2" applyNumberFormat="1" applyFont="1" applyAlignment="1">
      <alignment vertical="center"/>
    </xf>
    <xf numFmtId="37" fontId="63" fillId="2" borderId="0" xfId="2" applyFont="1" applyFill="1" applyAlignment="1">
      <alignment vertical="center"/>
    </xf>
    <xf numFmtId="172" fontId="23" fillId="20" borderId="14" xfId="3" applyNumberFormat="1" applyFont="1" applyFill="1" applyBorder="1" applyAlignment="1" applyProtection="1">
      <alignment horizontal="center" vertical="center"/>
    </xf>
    <xf numFmtId="1" fontId="16" fillId="16" borderId="14" xfId="2" applyNumberFormat="1" applyFont="1" applyFill="1" applyBorder="1" applyAlignment="1">
      <alignment horizontal="center" vertical="center"/>
    </xf>
    <xf numFmtId="37" fontId="14" fillId="16" borderId="0" xfId="2" applyFont="1" applyFill="1" applyAlignment="1">
      <alignment horizontal="left" vertical="center" wrapText="1"/>
    </xf>
    <xf numFmtId="4" fontId="5" fillId="16" borderId="0" xfId="2" applyNumberFormat="1" applyFont="1" applyFill="1" applyAlignment="1">
      <alignment vertical="center"/>
    </xf>
    <xf numFmtId="37" fontId="5" fillId="16" borderId="0" xfId="2" applyFont="1" applyFill="1" applyAlignment="1">
      <alignment vertical="center"/>
    </xf>
    <xf numFmtId="37" fontId="12" fillId="0" borderId="16" xfId="4" applyFont="1" applyBorder="1" applyAlignment="1">
      <alignment vertical="center"/>
    </xf>
    <xf numFmtId="37" fontId="12" fillId="0" borderId="29" xfId="4" applyFont="1" applyBorder="1" applyAlignment="1">
      <alignment vertical="center"/>
    </xf>
    <xf numFmtId="37" fontId="12" fillId="0" borderId="30" xfId="4" applyFont="1" applyBorder="1" applyAlignment="1">
      <alignment vertical="center"/>
    </xf>
    <xf numFmtId="37" fontId="8" fillId="2" borderId="0" xfId="4" applyFont="1" applyFill="1" applyAlignment="1">
      <alignment horizontal="left" vertical="center"/>
    </xf>
    <xf numFmtId="1" fontId="14" fillId="0" borderId="14" xfId="2" applyNumberFormat="1" applyFont="1" applyBorder="1" applyAlignment="1">
      <alignment vertical="center"/>
    </xf>
    <xf numFmtId="168" fontId="14" fillId="0" borderId="34" xfId="2" applyNumberFormat="1" applyFont="1" applyBorder="1" applyAlignment="1">
      <alignment vertical="center"/>
    </xf>
    <xf numFmtId="168" fontId="14" fillId="0" borderId="33" xfId="2" applyNumberFormat="1" applyFont="1" applyBorder="1" applyAlignment="1">
      <alignment vertical="center"/>
    </xf>
    <xf numFmtId="37" fontId="26" fillId="0" borderId="35" xfId="2" applyFont="1" applyBorder="1" applyAlignment="1">
      <alignment horizontal="center" vertical="center"/>
    </xf>
    <xf numFmtId="4" fontId="26" fillId="0" borderId="14" xfId="3" applyNumberFormat="1" applyFont="1" applyFill="1" applyBorder="1" applyAlignment="1" applyProtection="1">
      <alignment vertical="center"/>
    </xf>
    <xf numFmtId="37" fontId="14" fillId="0" borderId="14" xfId="2" applyFont="1" applyBorder="1" applyAlignment="1">
      <alignment horizontal="center" vertical="center"/>
    </xf>
    <xf numFmtId="1" fontId="54" fillId="0" borderId="14" xfId="0" applyNumberFormat="1" applyFont="1" applyBorder="1" applyAlignment="1">
      <alignment horizontal="center" vertical="center"/>
    </xf>
    <xf numFmtId="1" fontId="14" fillId="20" borderId="14" xfId="2" applyNumberFormat="1" applyFont="1" applyFill="1" applyBorder="1" applyAlignment="1">
      <alignment horizontal="center" vertical="center"/>
    </xf>
    <xf numFmtId="37" fontId="22" fillId="0" borderId="18" xfId="4" applyFont="1" applyBorder="1" applyAlignment="1">
      <alignment vertical="center"/>
    </xf>
    <xf numFmtId="37" fontId="12" fillId="0" borderId="20" xfId="4" applyFont="1" applyBorder="1" applyAlignment="1">
      <alignment horizontal="center" vertical="center"/>
    </xf>
    <xf numFmtId="4" fontId="12" fillId="0" borderId="0" xfId="4" applyNumberFormat="1" applyFont="1" applyAlignment="1">
      <alignment horizontal="center" vertical="center"/>
    </xf>
    <xf numFmtId="10" fontId="12" fillId="0" borderId="0" xfId="4" applyNumberFormat="1" applyFont="1" applyAlignment="1">
      <alignment horizontal="center" vertical="center"/>
    </xf>
    <xf numFmtId="4" fontId="32" fillId="0" borderId="0" xfId="0" applyNumberFormat="1" applyFont="1"/>
    <xf numFmtId="10" fontId="32" fillId="0" borderId="0" xfId="0" applyNumberFormat="1" applyFont="1"/>
    <xf numFmtId="4" fontId="32" fillId="10" borderId="0" xfId="0" applyNumberFormat="1" applyFont="1" applyFill="1" applyAlignment="1">
      <alignment vertical="center"/>
    </xf>
    <xf numFmtId="10" fontId="32" fillId="10" borderId="0" xfId="0" applyNumberFormat="1" applyFont="1" applyFill="1" applyAlignment="1">
      <alignment vertical="center"/>
    </xf>
    <xf numFmtId="4" fontId="44" fillId="0" borderId="0" xfId="0" applyNumberFormat="1" applyFont="1" applyAlignment="1">
      <alignment vertical="center"/>
    </xf>
    <xf numFmtId="10" fontId="44" fillId="0" borderId="0" xfId="0" applyNumberFormat="1" applyFont="1" applyAlignment="1">
      <alignment vertical="center"/>
    </xf>
    <xf numFmtId="4" fontId="67" fillId="0" borderId="0" xfId="0" applyNumberFormat="1" applyFont="1" applyAlignment="1">
      <alignment vertical="center"/>
    </xf>
    <xf numFmtId="10" fontId="46" fillId="2" borderId="25" xfId="0" applyNumberFormat="1" applyFont="1" applyFill="1" applyBorder="1" applyAlignment="1">
      <alignment horizontal="center" vertical="center"/>
    </xf>
    <xf numFmtId="4" fontId="31" fillId="0" borderId="0" xfId="0" applyNumberFormat="1" applyFont="1"/>
    <xf numFmtId="10" fontId="31" fillId="0" borderId="0" xfId="0" applyNumberFormat="1" applyFont="1"/>
    <xf numFmtId="10" fontId="31" fillId="0" borderId="0" xfId="0" applyNumberFormat="1" applyFont="1" applyAlignment="1">
      <alignment vertical="center"/>
    </xf>
    <xf numFmtId="0" fontId="34" fillId="0" borderId="25" xfId="0" applyFont="1" applyBorder="1" applyAlignment="1">
      <alignment horizontal="center" vertical="center"/>
    </xf>
    <xf numFmtId="0" fontId="34" fillId="0" borderId="27" xfId="0" applyFont="1" applyBorder="1" applyAlignment="1">
      <alignment horizontal="center" vertical="center"/>
    </xf>
    <xf numFmtId="0" fontId="34" fillId="0" borderId="28" xfId="0" applyFont="1" applyBorder="1" applyAlignment="1">
      <alignment horizontal="center" vertical="center"/>
    </xf>
    <xf numFmtId="4" fontId="34" fillId="0" borderId="25" xfId="0" applyNumberFormat="1" applyFont="1" applyBorder="1" applyAlignment="1">
      <alignment horizontal="right" vertical="center"/>
    </xf>
    <xf numFmtId="0" fontId="68" fillId="0" borderId="25" xfId="0" applyFont="1" applyBorder="1" applyAlignment="1">
      <alignment horizontal="center" vertical="center" wrapText="1"/>
    </xf>
    <xf numFmtId="0" fontId="5" fillId="0" borderId="25" xfId="0" quotePrefix="1" applyFont="1" applyBorder="1" applyAlignment="1">
      <alignment horizontal="center" vertical="center"/>
    </xf>
    <xf numFmtId="0" fontId="69" fillId="0" borderId="25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2" fontId="5" fillId="0" borderId="25" xfId="0" quotePrefix="1" applyNumberFormat="1" applyFont="1" applyBorder="1" applyAlignment="1">
      <alignment horizontal="center" vertical="center"/>
    </xf>
    <xf numFmtId="168" fontId="5" fillId="0" borderId="25" xfId="0" applyNumberFormat="1" applyFont="1" applyBorder="1" applyAlignment="1">
      <alignment horizontal="center" vertical="center"/>
    </xf>
    <xf numFmtId="4" fontId="10" fillId="0" borderId="25" xfId="0" applyNumberFormat="1" applyFont="1" applyBorder="1" applyAlignment="1">
      <alignment horizontal="right" vertical="center"/>
    </xf>
    <xf numFmtId="173" fontId="31" fillId="0" borderId="0" xfId="1" applyNumberFormat="1" applyFont="1" applyFill="1" applyAlignment="1">
      <alignment vertical="center"/>
    </xf>
    <xf numFmtId="0" fontId="14" fillId="0" borderId="25" xfId="0" applyFont="1" applyBorder="1" applyAlignment="1">
      <alignment horizontal="left" vertical="center"/>
    </xf>
    <xf numFmtId="168" fontId="14" fillId="0" borderId="25" xfId="0" applyNumberFormat="1" applyFont="1" applyBorder="1" applyAlignment="1">
      <alignment horizontal="center" vertical="center"/>
    </xf>
    <xf numFmtId="4" fontId="48" fillId="0" borderId="0" xfId="0" applyNumberFormat="1" applyFont="1" applyAlignment="1">
      <alignment vertical="center"/>
    </xf>
    <xf numFmtId="0" fontId="14" fillId="0" borderId="25" xfId="0" quotePrefix="1" applyFont="1" applyBorder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176" fontId="5" fillId="0" borderId="25" xfId="0" applyNumberFormat="1" applyFont="1" applyBorder="1" applyAlignment="1">
      <alignment horizontal="center" vertical="center"/>
    </xf>
    <xf numFmtId="0" fontId="70" fillId="0" borderId="25" xfId="0" applyFont="1" applyBorder="1" applyAlignment="1">
      <alignment horizontal="left" vertical="center"/>
    </xf>
    <xf numFmtId="4" fontId="5" fillId="0" borderId="25" xfId="0" applyNumberFormat="1" applyFont="1" applyBorder="1" applyAlignment="1">
      <alignment vertical="center"/>
    </xf>
    <xf numFmtId="4" fontId="10" fillId="0" borderId="25" xfId="0" applyNumberFormat="1" applyFont="1" applyBorder="1" applyAlignment="1">
      <alignment vertical="center"/>
    </xf>
    <xf numFmtId="170" fontId="5" fillId="0" borderId="25" xfId="0" quotePrefix="1" applyNumberFormat="1" applyFont="1" applyBorder="1" applyAlignment="1">
      <alignment horizontal="center" vertical="center"/>
    </xf>
    <xf numFmtId="170" fontId="14" fillId="0" borderId="25" xfId="0" quotePrefix="1" applyNumberFormat="1" applyFont="1" applyBorder="1" applyAlignment="1">
      <alignment horizontal="center" vertical="center"/>
    </xf>
    <xf numFmtId="4" fontId="14" fillId="0" borderId="25" xfId="0" applyNumberFormat="1" applyFont="1" applyBorder="1" applyAlignment="1">
      <alignment horizontal="right" vertical="center" wrapText="1"/>
    </xf>
    <xf numFmtId="4" fontId="5" fillId="0" borderId="25" xfId="0" applyNumberFormat="1" applyFont="1" applyBorder="1" applyAlignment="1">
      <alignment horizontal="right" vertical="center" wrapText="1"/>
    </xf>
    <xf numFmtId="2" fontId="10" fillId="0" borderId="25" xfId="0" applyNumberFormat="1" applyFont="1" applyBorder="1" applyAlignment="1">
      <alignment horizontal="left" vertical="center"/>
    </xf>
    <xf numFmtId="176" fontId="5" fillId="0" borderId="25" xfId="0" applyNumberFormat="1" applyFont="1" applyBorder="1" applyAlignment="1">
      <alignment horizontal="left" vertical="center"/>
    </xf>
    <xf numFmtId="2" fontId="10" fillId="0" borderId="25" xfId="0" applyNumberFormat="1" applyFont="1" applyBorder="1" applyAlignment="1">
      <alignment horizontal="center" vertical="center"/>
    </xf>
    <xf numFmtId="0" fontId="70" fillId="0" borderId="25" xfId="0" quotePrefix="1" applyFont="1" applyBorder="1" applyAlignment="1">
      <alignment horizontal="left" vertical="center"/>
    </xf>
    <xf numFmtId="14" fontId="5" fillId="0" borderId="25" xfId="0" quotePrefix="1" applyNumberFormat="1" applyFont="1" applyBorder="1" applyAlignment="1">
      <alignment horizontal="center" vertical="center"/>
    </xf>
    <xf numFmtId="4" fontId="10" fillId="0" borderId="25" xfId="1" applyNumberFormat="1" applyFont="1" applyFill="1" applyBorder="1" applyAlignment="1">
      <alignment vertical="center"/>
    </xf>
    <xf numFmtId="0" fontId="14" fillId="0" borderId="25" xfId="0" quotePrefix="1" applyFont="1" applyBorder="1" applyAlignment="1">
      <alignment horizontal="left" vertical="center" wrapText="1"/>
    </xf>
    <xf numFmtId="0" fontId="71" fillId="0" borderId="25" xfId="0" quotePrefix="1" applyFont="1" applyBorder="1" applyAlignment="1">
      <alignment horizontal="center" vertical="center" wrapText="1"/>
    </xf>
    <xf numFmtId="0" fontId="14" fillId="0" borderId="25" xfId="0" quotePrefix="1" applyFont="1" applyBorder="1" applyAlignment="1">
      <alignment horizontal="center" vertical="center"/>
    </xf>
    <xf numFmtId="0" fontId="10" fillId="0" borderId="25" xfId="0" quotePrefix="1" applyFont="1" applyBorder="1" applyAlignment="1">
      <alignment horizontal="left" vertical="center"/>
    </xf>
    <xf numFmtId="175" fontId="14" fillId="0" borderId="25" xfId="0" quotePrefix="1" applyNumberFormat="1" applyFont="1" applyBorder="1" applyAlignment="1">
      <alignment horizontal="center" vertical="center"/>
    </xf>
    <xf numFmtId="0" fontId="14" fillId="0" borderId="0" xfId="0" quotePrefix="1" applyFont="1" applyAlignment="1">
      <alignment horizontal="left" vertical="center" wrapText="1"/>
    </xf>
    <xf numFmtId="2" fontId="14" fillId="0" borderId="0" xfId="0" quotePrefix="1" applyNumberFormat="1" applyFont="1" applyAlignment="1">
      <alignment horizontal="center" vertical="center"/>
    </xf>
    <xf numFmtId="168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wrapText="1"/>
    </xf>
    <xf numFmtId="4" fontId="31" fillId="2" borderId="0" xfId="0" applyNumberFormat="1" applyFont="1" applyFill="1" applyAlignment="1">
      <alignment vertical="center"/>
    </xf>
    <xf numFmtId="10" fontId="31" fillId="2" borderId="0" xfId="0" applyNumberFormat="1" applyFont="1" applyFill="1" applyAlignment="1">
      <alignment vertical="center"/>
    </xf>
    <xf numFmtId="10" fontId="35" fillId="0" borderId="0" xfId="0" applyNumberFormat="1" applyFont="1" applyAlignment="1">
      <alignment vertical="center"/>
    </xf>
    <xf numFmtId="4" fontId="32" fillId="2" borderId="0" xfId="0" applyNumberFormat="1" applyFont="1" applyFill="1" applyAlignment="1">
      <alignment vertical="center"/>
    </xf>
    <xf numFmtId="10" fontId="36" fillId="0" borderId="0" xfId="0" applyNumberFormat="1" applyFont="1" applyAlignment="1">
      <alignment vertical="center"/>
    </xf>
    <xf numFmtId="10" fontId="31" fillId="9" borderId="0" xfId="0" applyNumberFormat="1" applyFont="1" applyFill="1"/>
    <xf numFmtId="4" fontId="32" fillId="9" borderId="0" xfId="0" applyNumberFormat="1" applyFont="1" applyFill="1"/>
    <xf numFmtId="10" fontId="8" fillId="0" borderId="9" xfId="0" applyNumberFormat="1" applyFont="1" applyBorder="1" applyAlignment="1">
      <alignment vertical="center"/>
    </xf>
    <xf numFmtId="10" fontId="5" fillId="0" borderId="11" xfId="0" applyNumberFormat="1" applyFont="1" applyBorder="1" applyAlignment="1">
      <alignment vertical="center"/>
    </xf>
    <xf numFmtId="10" fontId="17" fillId="0" borderId="9" xfId="0" applyNumberFormat="1" applyFont="1" applyBorder="1" applyAlignment="1">
      <alignment vertical="center"/>
    </xf>
    <xf numFmtId="10" fontId="24" fillId="0" borderId="9" xfId="0" applyNumberFormat="1" applyFont="1" applyBorder="1" applyAlignment="1">
      <alignment vertical="center"/>
    </xf>
    <xf numFmtId="10" fontId="9" fillId="0" borderId="9" xfId="0" applyNumberFormat="1" applyFont="1" applyBorder="1" applyAlignment="1">
      <alignment vertical="center"/>
    </xf>
    <xf numFmtId="10" fontId="0" fillId="0" borderId="9" xfId="0" applyNumberFormat="1" applyBorder="1" applyAlignment="1">
      <alignment vertical="center"/>
    </xf>
    <xf numFmtId="10" fontId="23" fillId="0" borderId="9" xfId="0" applyNumberFormat="1" applyFont="1" applyBorder="1" applyAlignment="1">
      <alignment vertical="center"/>
    </xf>
    <xf numFmtId="4" fontId="23" fillId="0" borderId="39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vertical="center"/>
    </xf>
    <xf numFmtId="10" fontId="7" fillId="0" borderId="0" xfId="0" applyNumberFormat="1" applyFont="1" applyAlignment="1">
      <alignment horizontal="center" vertical="center" wrapText="1"/>
    </xf>
    <xf numFmtId="10" fontId="0" fillId="0" borderId="0" xfId="0" applyNumberFormat="1" applyAlignment="1">
      <alignment horizontal="center" vertical="center" wrapText="1"/>
    </xf>
    <xf numFmtId="0" fontId="3" fillId="0" borderId="0" xfId="8"/>
    <xf numFmtId="1" fontId="14" fillId="0" borderId="14" xfId="8" applyNumberFormat="1" applyFont="1" applyBorder="1" applyAlignment="1">
      <alignment horizontal="center" vertical="center"/>
    </xf>
    <xf numFmtId="1" fontId="23" fillId="0" borderId="14" xfId="8" applyNumberFormat="1" applyFont="1" applyBorder="1" applyAlignment="1">
      <alignment horizontal="center" vertical="center"/>
    </xf>
    <xf numFmtId="1" fontId="27" fillId="0" borderId="18" xfId="8" applyNumberFormat="1" applyFont="1" applyBorder="1" applyAlignment="1">
      <alignment horizontal="left" vertical="center"/>
    </xf>
    <xf numFmtId="1" fontId="14" fillId="0" borderId="22" xfId="8" applyNumberFormat="1" applyFont="1" applyBorder="1" applyAlignment="1">
      <alignment horizontal="center" vertical="center"/>
    </xf>
    <xf numFmtId="1" fontId="23" fillId="13" borderId="14" xfId="8" applyNumberFormat="1" applyFont="1" applyFill="1" applyBorder="1" applyAlignment="1">
      <alignment horizontal="center" vertical="center"/>
    </xf>
    <xf numFmtId="1" fontId="23" fillId="2" borderId="16" xfId="8" applyNumberFormat="1" applyFont="1" applyFill="1" applyBorder="1" applyAlignment="1">
      <alignment horizontal="center" vertical="center"/>
    </xf>
    <xf numFmtId="1" fontId="10" fillId="0" borderId="18" xfId="8" applyNumberFormat="1" applyFont="1" applyBorder="1" applyAlignment="1">
      <alignment horizontal="left" vertical="center"/>
    </xf>
    <xf numFmtId="1" fontId="23" fillId="14" borderId="14" xfId="8" applyNumberFormat="1" applyFont="1" applyFill="1" applyBorder="1" applyAlignment="1">
      <alignment horizontal="center" vertical="center"/>
    </xf>
    <xf numFmtId="0" fontId="23" fillId="0" borderId="0" xfId="8" applyFont="1" applyAlignment="1">
      <alignment vertical="center"/>
    </xf>
    <xf numFmtId="0" fontId="23" fillId="0" borderId="18" xfId="8" applyFont="1" applyBorder="1" applyAlignment="1">
      <alignment vertical="center"/>
    </xf>
    <xf numFmtId="0" fontId="23" fillId="0" borderId="30" xfId="8" applyFont="1" applyBorder="1" applyAlignment="1">
      <alignment vertical="center"/>
    </xf>
    <xf numFmtId="0" fontId="23" fillId="0" borderId="20" xfId="8" applyFont="1" applyBorder="1" applyAlignment="1">
      <alignment vertical="center"/>
    </xf>
    <xf numFmtId="1" fontId="9" fillId="0" borderId="18" xfId="8" applyNumberFormat="1" applyFont="1" applyBorder="1" applyAlignment="1">
      <alignment horizontal="left" vertical="center"/>
    </xf>
    <xf numFmtId="1" fontId="51" fillId="20" borderId="14" xfId="8" applyNumberFormat="1" applyFont="1" applyFill="1" applyBorder="1" applyAlignment="1">
      <alignment horizontal="center" vertical="center"/>
    </xf>
    <xf numFmtId="182" fontId="14" fillId="2" borderId="0" xfId="2" applyNumberFormat="1" applyFont="1" applyFill="1" applyAlignment="1">
      <alignment horizontal="center" vertical="center" wrapText="1"/>
    </xf>
    <xf numFmtId="4" fontId="23" fillId="0" borderId="0" xfId="8" applyNumberFormat="1" applyFont="1" applyAlignment="1">
      <alignment vertical="center"/>
    </xf>
    <xf numFmtId="10" fontId="23" fillId="0" borderId="0" xfId="8" applyNumberFormat="1" applyFont="1" applyAlignment="1">
      <alignment vertical="center"/>
    </xf>
    <xf numFmtId="4" fontId="14" fillId="12" borderId="0" xfId="2" applyNumberFormat="1" applyFont="1" applyFill="1" applyAlignment="1">
      <alignment horizontal="center" vertical="center"/>
    </xf>
    <xf numFmtId="10" fontId="14" fillId="12" borderId="0" xfId="2" applyNumberFormat="1" applyFont="1" applyFill="1" applyAlignment="1">
      <alignment horizontal="center" vertical="center"/>
    </xf>
    <xf numFmtId="0" fontId="7" fillId="0" borderId="0" xfId="0" applyFont="1"/>
    <xf numFmtId="4" fontId="2" fillId="12" borderId="0" xfId="10" applyNumberFormat="1" applyFill="1"/>
    <xf numFmtId="0" fontId="2" fillId="0" borderId="0" xfId="10"/>
    <xf numFmtId="4" fontId="14" fillId="0" borderId="9" xfId="11" applyNumberFormat="1" applyFont="1" applyBorder="1" applyAlignment="1">
      <alignment vertical="center"/>
    </xf>
    <xf numFmtId="4" fontId="10" fillId="0" borderId="9" xfId="11" applyNumberFormat="1" applyFont="1" applyBorder="1" applyAlignment="1">
      <alignment vertical="center"/>
    </xf>
    <xf numFmtId="4" fontId="14" fillId="0" borderId="39" xfId="11" applyNumberFormat="1" applyFont="1" applyBorder="1" applyAlignment="1">
      <alignment vertical="center"/>
    </xf>
    <xf numFmtId="4" fontId="2" fillId="0" borderId="0" xfId="10" applyNumberFormat="1"/>
    <xf numFmtId="4" fontId="10" fillId="2" borderId="25" xfId="16" applyNumberFormat="1" applyFont="1" applyFill="1" applyBorder="1" applyAlignment="1">
      <alignment horizontal="right" vertical="center"/>
    </xf>
    <xf numFmtId="4" fontId="14" fillId="2" borderId="25" xfId="16" applyNumberFormat="1" applyFont="1" applyFill="1" applyBorder="1" applyAlignment="1">
      <alignment vertical="center"/>
    </xf>
    <xf numFmtId="4" fontId="14" fillId="2" borderId="25" xfId="16" applyNumberFormat="1" applyFont="1" applyFill="1" applyBorder="1" applyAlignment="1">
      <alignment horizontal="right" vertical="center"/>
    </xf>
    <xf numFmtId="4" fontId="10" fillId="12" borderId="25" xfId="16" applyNumberFormat="1" applyFont="1" applyFill="1" applyBorder="1" applyAlignment="1">
      <alignment horizontal="right" vertical="center"/>
    </xf>
    <xf numFmtId="4" fontId="65" fillId="14" borderId="14" xfId="3" applyNumberFormat="1" applyFont="1" applyFill="1" applyBorder="1" applyAlignment="1" applyProtection="1">
      <alignment vertical="center"/>
    </xf>
    <xf numFmtId="17" fontId="0" fillId="0" borderId="0" xfId="0" applyNumberFormat="1"/>
    <xf numFmtId="180" fontId="74" fillId="12" borderId="14" xfId="3" applyNumberFormat="1" applyFont="1" applyFill="1" applyBorder="1" applyAlignment="1" applyProtection="1">
      <alignment horizontal="center" vertical="center"/>
    </xf>
    <xf numFmtId="173" fontId="0" fillId="0" borderId="0" xfId="0" applyNumberFormat="1"/>
    <xf numFmtId="10" fontId="29" fillId="0" borderId="0" xfId="4" applyNumberFormat="1" applyFont="1" applyAlignment="1">
      <alignment horizontal="left" vertical="center"/>
    </xf>
    <xf numFmtId="10" fontId="0" fillId="0" borderId="0" xfId="4" applyNumberFormat="1" applyFont="1" applyAlignment="1">
      <alignment horizontal="center" vertical="center"/>
    </xf>
    <xf numFmtId="181" fontId="14" fillId="16" borderId="14" xfId="3" applyNumberFormat="1" applyFont="1" applyFill="1" applyBorder="1" applyAlignment="1" applyProtection="1">
      <alignment horizontal="center" vertical="center"/>
    </xf>
    <xf numFmtId="10" fontId="8" fillId="0" borderId="0" xfId="4" applyNumberFormat="1" applyFont="1" applyAlignment="1">
      <alignment horizontal="center" vertical="center"/>
    </xf>
    <xf numFmtId="183" fontId="0" fillId="0" borderId="0" xfId="0" applyNumberFormat="1"/>
    <xf numFmtId="4" fontId="14" fillId="12" borderId="25" xfId="0" applyNumberFormat="1" applyFont="1" applyFill="1" applyBorder="1" applyAlignment="1">
      <alignment horizontal="right" vertical="center"/>
    </xf>
    <xf numFmtId="4" fontId="14" fillId="12" borderId="25" xfId="0" applyNumberFormat="1" applyFont="1" applyFill="1" applyBorder="1" applyAlignment="1">
      <alignment vertical="center"/>
    </xf>
    <xf numFmtId="4" fontId="63" fillId="2" borderId="18" xfId="2" applyNumberFormat="1" applyFont="1" applyFill="1" applyBorder="1" applyAlignment="1">
      <alignment horizontal="left" vertical="center" wrapText="1"/>
    </xf>
    <xf numFmtId="4" fontId="63" fillId="2" borderId="0" xfId="2" applyNumberFormat="1" applyFont="1" applyFill="1" applyAlignment="1">
      <alignment horizontal="left" vertical="center" wrapText="1"/>
    </xf>
    <xf numFmtId="1" fontId="14" fillId="2" borderId="14" xfId="0" applyNumberFormat="1" applyFont="1" applyFill="1" applyBorder="1" applyAlignment="1">
      <alignment horizontal="center" vertical="center"/>
    </xf>
    <xf numFmtId="180" fontId="14" fillId="2" borderId="14" xfId="3" applyNumberFormat="1" applyFont="1" applyFill="1" applyBorder="1" applyAlignment="1" applyProtection="1">
      <alignment horizontal="center" vertical="center"/>
    </xf>
    <xf numFmtId="37" fontId="74" fillId="16" borderId="0" xfId="2" applyFont="1" applyFill="1" applyAlignment="1">
      <alignment vertical="center"/>
    </xf>
    <xf numFmtId="4" fontId="63" fillId="12" borderId="14" xfId="2" applyNumberFormat="1" applyFont="1" applyFill="1" applyBorder="1" applyAlignment="1">
      <alignment vertical="center"/>
    </xf>
    <xf numFmtId="37" fontId="63" fillId="16" borderId="0" xfId="2" applyFont="1" applyFill="1" applyAlignment="1">
      <alignment horizontal="left" vertical="center"/>
    </xf>
    <xf numFmtId="4" fontId="65" fillId="16" borderId="0" xfId="2" applyNumberFormat="1" applyFont="1" applyFill="1" applyAlignment="1">
      <alignment vertical="center"/>
    </xf>
    <xf numFmtId="1" fontId="75" fillId="2" borderId="14" xfId="0" applyNumberFormat="1" applyFont="1" applyFill="1" applyBorder="1" applyAlignment="1">
      <alignment horizontal="center" vertical="center"/>
    </xf>
    <xf numFmtId="168" fontId="75" fillId="2" borderId="14" xfId="2" quotePrefix="1" applyNumberFormat="1" applyFont="1" applyFill="1" applyBorder="1" applyAlignment="1">
      <alignment horizontal="center" vertical="center"/>
    </xf>
    <xf numFmtId="168" fontId="75" fillId="2" borderId="14" xfId="2" applyNumberFormat="1" applyFont="1" applyFill="1" applyBorder="1" applyAlignment="1">
      <alignment horizontal="center" vertical="center"/>
    </xf>
    <xf numFmtId="4" fontId="75" fillId="2" borderId="14" xfId="3" applyNumberFormat="1" applyFont="1" applyFill="1" applyBorder="1" applyAlignment="1" applyProtection="1">
      <alignment vertical="center"/>
    </xf>
    <xf numFmtId="172" fontId="75" fillId="2" borderId="14" xfId="3" applyNumberFormat="1" applyFont="1" applyFill="1" applyBorder="1" applyAlignment="1" applyProtection="1">
      <alignment horizontal="center" vertical="center"/>
    </xf>
    <xf numFmtId="39" fontId="5" fillId="2" borderId="0" xfId="2" applyNumberFormat="1" applyFont="1" applyFill="1"/>
    <xf numFmtId="1" fontId="14" fillId="2" borderId="22" xfId="0" applyNumberFormat="1" applyFont="1" applyFill="1" applyBorder="1" applyAlignment="1">
      <alignment horizontal="center" vertical="center"/>
    </xf>
    <xf numFmtId="168" fontId="14" fillId="2" borderId="33" xfId="2" quotePrefix="1" applyNumberFormat="1" applyFont="1" applyFill="1" applyBorder="1" applyAlignment="1">
      <alignment horizontal="center" vertical="center"/>
    </xf>
    <xf numFmtId="168" fontId="14" fillId="2" borderId="31" xfId="2" quotePrefix="1" applyNumberFormat="1" applyFont="1" applyFill="1" applyBorder="1" applyAlignment="1">
      <alignment horizontal="center" vertical="center"/>
    </xf>
    <xf numFmtId="4" fontId="14" fillId="2" borderId="31" xfId="3" applyNumberFormat="1" applyFont="1" applyFill="1" applyBorder="1" applyAlignment="1" applyProtection="1">
      <alignment vertical="center"/>
    </xf>
    <xf numFmtId="172" fontId="14" fillId="2" borderId="32" xfId="3" applyNumberFormat="1" applyFont="1" applyFill="1" applyBorder="1" applyAlignment="1" applyProtection="1">
      <alignment horizontal="center" vertical="center"/>
    </xf>
    <xf numFmtId="168" fontId="14" fillId="2" borderId="33" xfId="2" applyNumberFormat="1" applyFont="1" applyFill="1" applyBorder="1" applyAlignment="1">
      <alignment horizontal="center" vertical="center"/>
    </xf>
    <xf numFmtId="168" fontId="14" fillId="2" borderId="34" xfId="2" applyNumberFormat="1" applyFont="1" applyFill="1" applyBorder="1" applyAlignment="1">
      <alignment horizontal="center" vertical="center"/>
    </xf>
    <xf numFmtId="1" fontId="27" fillId="2" borderId="18" xfId="0" applyNumberFormat="1" applyFont="1" applyFill="1" applyBorder="1" applyAlignment="1">
      <alignment horizontal="left" vertical="center"/>
    </xf>
    <xf numFmtId="168" fontId="23" fillId="2" borderId="0" xfId="2" quotePrefix="1" applyNumberFormat="1" applyFont="1" applyFill="1" applyAlignment="1">
      <alignment horizontal="center" vertical="center"/>
    </xf>
    <xf numFmtId="4" fontId="28" fillId="2" borderId="0" xfId="3" applyNumberFormat="1" applyFont="1" applyFill="1" applyBorder="1" applyAlignment="1" applyProtection="1">
      <alignment vertical="center"/>
    </xf>
    <xf numFmtId="172" fontId="14" fillId="2" borderId="20" xfId="3" applyNumberFormat="1" applyFont="1" applyFill="1" applyBorder="1" applyAlignment="1" applyProtection="1">
      <alignment horizontal="center" vertical="center"/>
    </xf>
    <xf numFmtId="173" fontId="5" fillId="12" borderId="0" xfId="2" applyNumberFormat="1" applyFont="1" applyFill="1"/>
    <xf numFmtId="180" fontId="14" fillId="2" borderId="14" xfId="3" quotePrefix="1" applyNumberFormat="1" applyFont="1" applyFill="1" applyBorder="1" applyAlignment="1" applyProtection="1">
      <alignment horizontal="center" vertical="center"/>
    </xf>
    <xf numFmtId="37" fontId="63" fillId="16" borderId="14" xfId="2" applyFont="1" applyFill="1" applyBorder="1" applyAlignment="1">
      <alignment vertical="center"/>
    </xf>
    <xf numFmtId="4" fontId="63" fillId="16" borderId="18" xfId="2" applyNumberFormat="1" applyFont="1" applyFill="1" applyBorder="1" applyAlignment="1">
      <alignment horizontal="left" vertical="center" wrapText="1"/>
    </xf>
    <xf numFmtId="4" fontId="74" fillId="16" borderId="0" xfId="2" applyNumberFormat="1" applyFont="1" applyFill="1" applyAlignment="1">
      <alignment horizontal="left" vertical="center" wrapText="1"/>
    </xf>
    <xf numFmtId="37" fontId="74" fillId="16" borderId="0" xfId="2" applyFont="1" applyFill="1"/>
    <xf numFmtId="4" fontId="74" fillId="16" borderId="0" xfId="2" applyNumberFormat="1" applyFont="1" applyFill="1"/>
    <xf numFmtId="4" fontId="63" fillId="16" borderId="18" xfId="2" applyNumberFormat="1" applyFont="1" applyFill="1" applyBorder="1" applyAlignment="1">
      <alignment vertical="center"/>
    </xf>
    <xf numFmtId="4" fontId="63" fillId="16" borderId="0" xfId="2" applyNumberFormat="1" applyFont="1" applyFill="1" applyAlignment="1">
      <alignment vertical="center"/>
    </xf>
    <xf numFmtId="37" fontId="14" fillId="0" borderId="16" xfId="2" applyFont="1" applyBorder="1" applyAlignment="1">
      <alignment horizontal="center" vertical="center" wrapText="1"/>
    </xf>
    <xf numFmtId="37" fontId="14" fillId="0" borderId="29" xfId="2" applyFont="1" applyBorder="1" applyAlignment="1">
      <alignment horizontal="center" vertical="center"/>
    </xf>
    <xf numFmtId="37" fontId="14" fillId="0" borderId="29" xfId="2" applyFont="1" applyBorder="1" applyAlignment="1">
      <alignment horizontal="left" vertical="center"/>
    </xf>
    <xf numFmtId="37" fontId="14" fillId="0" borderId="30" xfId="2" applyFont="1" applyBorder="1" applyAlignment="1">
      <alignment horizontal="left" vertical="center"/>
    </xf>
    <xf numFmtId="37" fontId="5" fillId="0" borderId="0" xfId="4" applyFont="1" applyAlignment="1">
      <alignment vertical="center"/>
    </xf>
    <xf numFmtId="0" fontId="14" fillId="0" borderId="20" xfId="4" applyNumberFormat="1" applyFont="1" applyBorder="1" applyAlignment="1">
      <alignment horizontal="left" vertical="center"/>
    </xf>
    <xf numFmtId="37" fontId="14" fillId="0" borderId="0" xfId="4" applyFont="1" applyAlignment="1">
      <alignment vertical="center"/>
    </xf>
    <xf numFmtId="37" fontId="14" fillId="0" borderId="20" xfId="4" applyFont="1" applyBorder="1" applyAlignment="1">
      <alignment horizontal="center" vertical="center"/>
    </xf>
    <xf numFmtId="10" fontId="5" fillId="12" borderId="0" xfId="2" applyNumberFormat="1" applyFont="1" applyFill="1"/>
    <xf numFmtId="4" fontId="14" fillId="18" borderId="14" xfId="3" applyNumberFormat="1" applyFont="1" applyFill="1" applyBorder="1" applyAlignment="1" applyProtection="1">
      <alignment vertical="center"/>
    </xf>
    <xf numFmtId="180" fontId="14" fillId="18" borderId="14" xfId="3" quotePrefix="1" applyNumberFormat="1" applyFont="1" applyFill="1" applyBorder="1" applyAlignment="1" applyProtection="1">
      <alignment horizontal="center" vertical="center"/>
    </xf>
    <xf numFmtId="4" fontId="56" fillId="2" borderId="14" xfId="3" applyNumberFormat="1" applyFont="1" applyFill="1" applyBorder="1" applyAlignment="1" applyProtection="1">
      <alignment vertical="center"/>
    </xf>
    <xf numFmtId="37" fontId="5" fillId="22" borderId="0" xfId="2" applyFont="1" applyFill="1" applyAlignment="1">
      <alignment vertical="center"/>
    </xf>
    <xf numFmtId="10" fontId="5" fillId="22" borderId="0" xfId="2" applyNumberFormat="1" applyFont="1" applyFill="1" applyAlignment="1">
      <alignment vertical="center"/>
    </xf>
    <xf numFmtId="1" fontId="63" fillId="2" borderId="14" xfId="0" applyNumberFormat="1" applyFont="1" applyFill="1" applyBorder="1" applyAlignment="1">
      <alignment horizontal="left" vertical="center"/>
    </xf>
    <xf numFmtId="1" fontId="64" fillId="16" borderId="0" xfId="0" applyNumberFormat="1" applyFont="1" applyFill="1" applyAlignment="1">
      <alignment horizontal="left" vertical="center"/>
    </xf>
    <xf numFmtId="10" fontId="8" fillId="2" borderId="0" xfId="2" applyNumberFormat="1" applyFont="1" applyFill="1"/>
    <xf numFmtId="180" fontId="23" fillId="2" borderId="14" xfId="3" applyNumberFormat="1" applyFont="1" applyFill="1" applyBorder="1" applyAlignment="1" applyProtection="1">
      <alignment horizontal="center" vertical="center"/>
    </xf>
    <xf numFmtId="168" fontId="23" fillId="12" borderId="14" xfId="2" applyNumberFormat="1" applyFont="1" applyFill="1" applyBorder="1" applyAlignment="1">
      <alignment horizontal="center" vertical="center"/>
    </xf>
    <xf numFmtId="168" fontId="23" fillId="12" borderId="14" xfId="2" quotePrefix="1" applyNumberFormat="1" applyFont="1" applyFill="1" applyBorder="1" applyAlignment="1">
      <alignment horizontal="center" vertical="center"/>
    </xf>
    <xf numFmtId="168" fontId="14" fillId="12" borderId="14" xfId="2" applyNumberFormat="1" applyFont="1" applyFill="1" applyBorder="1" applyAlignment="1">
      <alignment horizontal="center" vertical="center"/>
    </xf>
    <xf numFmtId="4" fontId="23" fillId="12" borderId="14" xfId="3" applyNumberFormat="1" applyFont="1" applyFill="1" applyBorder="1" applyAlignment="1" applyProtection="1">
      <alignment vertical="center"/>
    </xf>
    <xf numFmtId="1" fontId="23" fillId="12" borderId="14" xfId="2" applyNumberFormat="1" applyFont="1" applyFill="1" applyBorder="1" applyAlignment="1">
      <alignment horizontal="center" vertical="center"/>
    </xf>
    <xf numFmtId="172" fontId="14" fillId="12" borderId="14" xfId="3" applyNumberFormat="1" applyFont="1" applyFill="1" applyBorder="1" applyAlignment="1" applyProtection="1">
      <alignment horizontal="center" vertical="center"/>
    </xf>
    <xf numFmtId="37" fontId="23" fillId="2" borderId="16" xfId="2" applyFont="1" applyFill="1" applyBorder="1" applyAlignment="1">
      <alignment vertical="center"/>
    </xf>
    <xf numFmtId="37" fontId="23" fillId="2" borderId="29" xfId="2" applyFont="1" applyFill="1" applyBorder="1" applyAlignment="1">
      <alignment vertical="center"/>
    </xf>
    <xf numFmtId="37" fontId="23" fillId="2" borderId="30" xfId="2" applyFont="1" applyFill="1" applyBorder="1" applyAlignment="1">
      <alignment horizontal="center" vertical="center"/>
    </xf>
    <xf numFmtId="37" fontId="23" fillId="2" borderId="18" xfId="2" applyFont="1" applyFill="1" applyBorder="1" applyAlignment="1">
      <alignment vertical="center"/>
    </xf>
    <xf numFmtId="37" fontId="23" fillId="2" borderId="0" xfId="2" applyFont="1" applyFill="1" applyAlignment="1">
      <alignment vertical="center"/>
    </xf>
    <xf numFmtId="37" fontId="23" fillId="2" borderId="20" xfId="2" applyFont="1" applyFill="1" applyBorder="1" applyAlignment="1">
      <alignment horizontal="center" vertical="center"/>
    </xf>
    <xf numFmtId="37" fontId="23" fillId="2" borderId="22" xfId="2" applyFont="1" applyFill="1" applyBorder="1" applyAlignment="1">
      <alignment horizontal="center" vertical="center" wrapText="1"/>
    </xf>
    <xf numFmtId="37" fontId="23" fillId="2" borderId="32" xfId="2" applyFont="1" applyFill="1" applyBorder="1" applyAlignment="1">
      <alignment horizontal="center" vertical="center" wrapText="1"/>
    </xf>
    <xf numFmtId="37" fontId="23" fillId="2" borderId="11" xfId="2" applyFont="1" applyFill="1" applyBorder="1" applyAlignment="1">
      <alignment horizontal="center" vertical="center" wrapText="1"/>
    </xf>
    <xf numFmtId="37" fontId="14" fillId="2" borderId="11" xfId="2" applyFont="1" applyFill="1" applyBorder="1" applyAlignment="1">
      <alignment horizontal="center" vertical="center" wrapText="1"/>
    </xf>
    <xf numFmtId="4" fontId="27" fillId="2" borderId="0" xfId="3" applyNumberFormat="1" applyFont="1" applyFill="1" applyBorder="1" applyAlignment="1" applyProtection="1">
      <alignment vertical="center"/>
    </xf>
    <xf numFmtId="172" fontId="23" fillId="2" borderId="20" xfId="3" applyNumberFormat="1" applyFont="1" applyFill="1" applyBorder="1" applyAlignment="1" applyProtection="1">
      <alignment horizontal="center" vertical="center"/>
    </xf>
    <xf numFmtId="37" fontId="27" fillId="2" borderId="18" xfId="2" applyFont="1" applyFill="1" applyBorder="1" applyAlignment="1">
      <alignment vertical="center"/>
    </xf>
    <xf numFmtId="37" fontId="28" fillId="2" borderId="0" xfId="2" applyFont="1" applyFill="1" applyAlignment="1">
      <alignment horizontal="left" vertical="center" wrapText="1"/>
    </xf>
    <xf numFmtId="180" fontId="14" fillId="23" borderId="14" xfId="2" applyNumberFormat="1" applyFont="1" applyFill="1" applyBorder="1" applyAlignment="1">
      <alignment horizontal="center" vertical="center"/>
    </xf>
    <xf numFmtId="1" fontId="14" fillId="18" borderId="14" xfId="0" applyNumberFormat="1" applyFont="1" applyFill="1" applyBorder="1" applyAlignment="1">
      <alignment horizontal="center" vertical="center"/>
    </xf>
    <xf numFmtId="37" fontId="14" fillId="18" borderId="14" xfId="2" applyFont="1" applyFill="1" applyBorder="1" applyAlignment="1">
      <alignment horizontal="right" vertical="center"/>
    </xf>
    <xf numFmtId="184" fontId="14" fillId="18" borderId="14" xfId="2" applyNumberFormat="1" applyFont="1" applyFill="1" applyBorder="1" applyAlignment="1">
      <alignment horizontal="center" vertical="center"/>
    </xf>
    <xf numFmtId="173" fontId="5" fillId="2" borderId="0" xfId="2" applyNumberFormat="1" applyFont="1" applyFill="1" applyAlignment="1">
      <alignment vertical="center"/>
    </xf>
    <xf numFmtId="1" fontId="10" fillId="2" borderId="18" xfId="0" applyNumberFormat="1" applyFont="1" applyFill="1" applyBorder="1" applyAlignment="1">
      <alignment horizontal="left" vertical="center"/>
    </xf>
    <xf numFmtId="168" fontId="14" fillId="2" borderId="0" xfId="2" quotePrefix="1" applyNumberFormat="1" applyFont="1" applyFill="1" applyAlignment="1">
      <alignment horizontal="center" vertical="center"/>
    </xf>
    <xf numFmtId="4" fontId="10" fillId="2" borderId="0" xfId="3" applyNumberFormat="1" applyFont="1" applyFill="1" applyBorder="1" applyAlignment="1" applyProtection="1">
      <alignment vertical="center"/>
    </xf>
    <xf numFmtId="0" fontId="23" fillId="2" borderId="18" xfId="0" applyFont="1" applyFill="1" applyBorder="1" applyAlignment="1">
      <alignment vertical="center"/>
    </xf>
    <xf numFmtId="0" fontId="23" fillId="2" borderId="0" xfId="0" applyFont="1" applyFill="1" applyAlignment="1">
      <alignment vertical="center"/>
    </xf>
    <xf numFmtId="0" fontId="23" fillId="2" borderId="30" xfId="0" applyFont="1" applyFill="1" applyBorder="1" applyAlignment="1">
      <alignment vertical="center"/>
    </xf>
    <xf numFmtId="0" fontId="23" fillId="2" borderId="20" xfId="0" applyFont="1" applyFill="1" applyBorder="1" applyAlignment="1">
      <alignment vertical="center"/>
    </xf>
    <xf numFmtId="1" fontId="9" fillId="2" borderId="18" xfId="0" applyNumberFormat="1" applyFont="1" applyFill="1" applyBorder="1" applyAlignment="1">
      <alignment horizontal="left" vertical="center"/>
    </xf>
    <xf numFmtId="168" fontId="9" fillId="2" borderId="0" xfId="2" quotePrefix="1" applyNumberFormat="1" applyFont="1" applyFill="1" applyAlignment="1">
      <alignment horizontal="center" vertical="center"/>
    </xf>
    <xf numFmtId="168" fontId="9" fillId="2" borderId="0" xfId="2" applyNumberFormat="1" applyFont="1" applyFill="1" applyAlignment="1">
      <alignment horizontal="center" vertical="center"/>
    </xf>
    <xf numFmtId="4" fontId="9" fillId="2" borderId="0" xfId="3" applyNumberFormat="1" applyFont="1" applyFill="1" applyBorder="1" applyAlignment="1" applyProtection="1">
      <alignment vertical="center"/>
    </xf>
    <xf numFmtId="172" fontId="9" fillId="2" borderId="20" xfId="3" applyNumberFormat="1" applyFont="1" applyFill="1" applyBorder="1" applyAlignment="1" applyProtection="1">
      <alignment horizontal="center" vertical="center"/>
    </xf>
    <xf numFmtId="37" fontId="8" fillId="2" borderId="18" xfId="4" applyFont="1" applyFill="1" applyBorder="1" applyAlignment="1">
      <alignment vertical="center"/>
    </xf>
    <xf numFmtId="37" fontId="8" fillId="2" borderId="20" xfId="4" applyFont="1" applyFill="1" applyBorder="1" applyAlignment="1">
      <alignment vertical="center"/>
    </xf>
    <xf numFmtId="173" fontId="8" fillId="2" borderId="0" xfId="2" applyNumberFormat="1" applyFont="1" applyFill="1"/>
    <xf numFmtId="14" fontId="9" fillId="2" borderId="18" xfId="4" applyNumberFormat="1" applyFont="1" applyFill="1" applyBorder="1" applyAlignment="1">
      <alignment horizontal="left" vertical="center"/>
    </xf>
    <xf numFmtId="37" fontId="9" fillId="2" borderId="20" xfId="4" applyFont="1" applyFill="1" applyBorder="1" applyAlignment="1">
      <alignment vertical="center"/>
    </xf>
    <xf numFmtId="37" fontId="9" fillId="2" borderId="18" xfId="2" applyFont="1" applyFill="1" applyBorder="1" applyAlignment="1">
      <alignment vertical="center"/>
    </xf>
    <xf numFmtId="37" fontId="9" fillId="2" borderId="20" xfId="2" applyFont="1" applyFill="1" applyBorder="1" applyAlignment="1">
      <alignment vertical="center"/>
    </xf>
    <xf numFmtId="37" fontId="8" fillId="2" borderId="41" xfId="2" applyFont="1" applyFill="1" applyBorder="1"/>
    <xf numFmtId="37" fontId="9" fillId="2" borderId="41" xfId="2" applyFont="1" applyFill="1" applyBorder="1" applyAlignment="1">
      <alignment vertical="center"/>
    </xf>
    <xf numFmtId="37" fontId="9" fillId="2" borderId="42" xfId="2" applyFont="1" applyFill="1" applyBorder="1" applyAlignment="1">
      <alignment vertical="center"/>
    </xf>
    <xf numFmtId="179" fontId="5" fillId="2" borderId="0" xfId="2" applyNumberFormat="1" applyFont="1" applyFill="1" applyAlignment="1">
      <alignment horizontal="center" vertical="top" wrapText="1"/>
    </xf>
    <xf numFmtId="179" fontId="5" fillId="2" borderId="0" xfId="2" applyNumberFormat="1" applyFont="1" applyFill="1" applyAlignment="1">
      <alignment vertical="center" wrapText="1"/>
    </xf>
    <xf numFmtId="179" fontId="14" fillId="2" borderId="0" xfId="2" applyNumberFormat="1" applyFont="1" applyFill="1" applyAlignment="1">
      <alignment vertical="center"/>
    </xf>
    <xf numFmtId="4" fontId="10" fillId="0" borderId="29" xfId="3" applyNumberFormat="1" applyFont="1" applyFill="1" applyBorder="1" applyAlignment="1" applyProtection="1">
      <alignment vertical="center"/>
    </xf>
    <xf numFmtId="179" fontId="14" fillId="2" borderId="0" xfId="2" applyNumberFormat="1" applyFont="1" applyFill="1" applyAlignment="1">
      <alignment vertical="top" wrapText="1"/>
    </xf>
    <xf numFmtId="168" fontId="14" fillId="18" borderId="14" xfId="2" quotePrefix="1" applyNumberFormat="1" applyFont="1" applyFill="1" applyBorder="1" applyAlignment="1">
      <alignment horizontal="center" vertical="center"/>
    </xf>
    <xf numFmtId="172" fontId="14" fillId="18" borderId="14" xfId="3" applyNumberFormat="1" applyFont="1" applyFill="1" applyBorder="1" applyAlignment="1" applyProtection="1">
      <alignment horizontal="center" vertical="center"/>
    </xf>
    <xf numFmtId="1" fontId="63" fillId="2" borderId="35" xfId="0" applyNumberFormat="1" applyFont="1" applyFill="1" applyBorder="1" applyAlignment="1">
      <alignment horizontal="left" vertical="center"/>
    </xf>
    <xf numFmtId="179" fontId="5" fillId="2" borderId="0" xfId="2" applyNumberFormat="1" applyFont="1" applyFill="1" applyAlignment="1">
      <alignment vertical="center"/>
    </xf>
    <xf numFmtId="4" fontId="64" fillId="16" borderId="35" xfId="2" applyNumberFormat="1" applyFont="1" applyFill="1" applyBorder="1" applyAlignment="1">
      <alignment vertical="center"/>
    </xf>
    <xf numFmtId="4" fontId="54" fillId="21" borderId="0" xfId="2" applyNumberFormat="1" applyFont="1" applyFill="1" applyAlignment="1">
      <alignment vertical="center"/>
    </xf>
    <xf numFmtId="179" fontId="14" fillId="16" borderId="0" xfId="2" applyNumberFormat="1" applyFont="1" applyFill="1" applyAlignment="1">
      <alignment vertical="center"/>
    </xf>
    <xf numFmtId="37" fontId="9" fillId="2" borderId="35" xfId="2" applyFont="1" applyFill="1" applyBorder="1" applyAlignment="1">
      <alignment vertical="center"/>
    </xf>
    <xf numFmtId="179" fontId="5" fillId="2" borderId="0" xfId="5" applyNumberFormat="1" applyFont="1" applyFill="1" applyBorder="1" applyAlignment="1">
      <alignment vertical="center"/>
    </xf>
    <xf numFmtId="1" fontId="26" fillId="2" borderId="34" xfId="0" applyNumberFormat="1" applyFont="1" applyFill="1" applyBorder="1" applyAlignment="1">
      <alignment horizontal="left" vertical="center"/>
    </xf>
    <xf numFmtId="172" fontId="14" fillId="2" borderId="35" xfId="3" applyNumberFormat="1" applyFont="1" applyFill="1" applyBorder="1" applyAlignment="1" applyProtection="1">
      <alignment horizontal="center" vertical="center"/>
    </xf>
    <xf numFmtId="179" fontId="14" fillId="12" borderId="0" xfId="2" applyNumberFormat="1" applyFont="1" applyFill="1" applyAlignment="1">
      <alignment vertical="center"/>
    </xf>
    <xf numFmtId="179" fontId="5" fillId="12" borderId="0" xfId="2" applyNumberFormat="1" applyFont="1" applyFill="1" applyAlignment="1">
      <alignment vertical="center"/>
    </xf>
    <xf numFmtId="179" fontId="14" fillId="12" borderId="0" xfId="2" applyNumberFormat="1" applyFont="1" applyFill="1" applyAlignment="1">
      <alignment vertical="top"/>
    </xf>
    <xf numFmtId="1" fontId="23" fillId="2" borderId="36" xfId="2" applyNumberFormat="1" applyFont="1" applyFill="1" applyBorder="1" applyAlignment="1">
      <alignment horizontal="center" vertical="center" wrapText="1"/>
    </xf>
    <xf numFmtId="179" fontId="14" fillId="17" borderId="0" xfId="2" applyNumberFormat="1" applyFont="1" applyFill="1" applyAlignment="1">
      <alignment vertical="top"/>
    </xf>
    <xf numFmtId="179" fontId="14" fillId="15" borderId="0" xfId="2" applyNumberFormat="1" applyFont="1" applyFill="1" applyAlignment="1">
      <alignment vertical="top"/>
    </xf>
    <xf numFmtId="37" fontId="9" fillId="16" borderId="35" xfId="2" applyFont="1" applyFill="1" applyBorder="1" applyAlignment="1">
      <alignment vertical="center"/>
    </xf>
    <xf numFmtId="179" fontId="65" fillId="15" borderId="0" xfId="2" applyNumberFormat="1" applyFont="1" applyFill="1" applyAlignment="1">
      <alignment vertical="top"/>
    </xf>
    <xf numFmtId="1" fontId="26" fillId="2" borderId="18" xfId="0" applyNumberFormat="1" applyFont="1" applyFill="1" applyBorder="1" applyAlignment="1">
      <alignment horizontal="left" vertical="center"/>
    </xf>
    <xf numFmtId="168" fontId="14" fillId="2" borderId="0" xfId="2" applyNumberFormat="1" applyFont="1" applyFill="1" applyAlignment="1">
      <alignment horizontal="center" vertical="center"/>
    </xf>
    <xf numFmtId="4" fontId="26" fillId="2" borderId="0" xfId="3" applyNumberFormat="1" applyFont="1" applyFill="1" applyBorder="1" applyAlignment="1" applyProtection="1">
      <alignment vertical="center"/>
    </xf>
    <xf numFmtId="1" fontId="14" fillId="2" borderId="34" xfId="0" applyNumberFormat="1" applyFont="1" applyFill="1" applyBorder="1" applyAlignment="1">
      <alignment horizontal="center" vertical="center"/>
    </xf>
    <xf numFmtId="168" fontId="14" fillId="2" borderId="35" xfId="2" applyNumberFormat="1" applyFont="1" applyFill="1" applyBorder="1" applyAlignment="1">
      <alignment horizontal="center" vertical="center"/>
    </xf>
    <xf numFmtId="1" fontId="10" fillId="2" borderId="18" xfId="2" applyNumberFormat="1" applyFont="1" applyFill="1" applyBorder="1" applyAlignment="1">
      <alignment horizontal="left" vertical="center" indent="2"/>
    </xf>
    <xf numFmtId="1" fontId="26" fillId="2" borderId="18" xfId="2" applyNumberFormat="1" applyFont="1" applyFill="1" applyBorder="1" applyAlignment="1">
      <alignment vertical="center"/>
    </xf>
    <xf numFmtId="4" fontId="26" fillId="2" borderId="31" xfId="3" applyNumberFormat="1" applyFont="1" applyFill="1" applyBorder="1" applyAlignment="1" applyProtection="1">
      <alignment vertical="center"/>
    </xf>
    <xf numFmtId="180" fontId="14" fillId="18" borderId="14" xfId="3" applyNumberFormat="1" applyFont="1" applyFill="1" applyBorder="1" applyAlignment="1" applyProtection="1">
      <alignment horizontal="center" vertical="center"/>
    </xf>
    <xf numFmtId="37" fontId="64" fillId="2" borderId="35" xfId="2" applyFont="1" applyFill="1" applyBorder="1" applyAlignment="1">
      <alignment vertical="center"/>
    </xf>
    <xf numFmtId="179" fontId="14" fillId="21" borderId="0" xfId="2" applyNumberFormat="1" applyFont="1" applyFill="1" applyAlignment="1">
      <alignment vertical="center"/>
    </xf>
    <xf numFmtId="179" fontId="14" fillId="2" borderId="0" xfId="2" applyNumberFormat="1" applyFont="1" applyFill="1" applyAlignment="1">
      <alignment vertical="top"/>
    </xf>
    <xf numFmtId="37" fontId="64" fillId="16" borderId="35" xfId="2" applyFont="1" applyFill="1" applyBorder="1" applyAlignment="1">
      <alignment vertical="center"/>
    </xf>
    <xf numFmtId="1" fontId="10" fillId="2" borderId="18" xfId="2" applyNumberFormat="1" applyFont="1" applyFill="1" applyBorder="1" applyAlignment="1">
      <alignment vertical="center"/>
    </xf>
    <xf numFmtId="37" fontId="64" fillId="18" borderId="35" xfId="2" applyFont="1" applyFill="1" applyBorder="1" applyAlignment="1">
      <alignment vertical="center"/>
    </xf>
    <xf numFmtId="179" fontId="5" fillId="18" borderId="0" xfId="2" applyNumberFormat="1" applyFont="1" applyFill="1" applyAlignment="1">
      <alignment vertical="center"/>
    </xf>
    <xf numFmtId="179" fontId="5" fillId="17" borderId="0" xfId="2" applyNumberFormat="1" applyFont="1" applyFill="1" applyAlignment="1">
      <alignment vertical="center"/>
    </xf>
    <xf numFmtId="1" fontId="23" fillId="2" borderId="14" xfId="2" applyNumberFormat="1" applyFont="1" applyFill="1" applyBorder="1" applyAlignment="1">
      <alignment horizontal="center" vertical="center" wrapText="1"/>
    </xf>
    <xf numFmtId="179" fontId="65" fillId="16" borderId="0" xfId="2" applyNumberFormat="1" applyFont="1" applyFill="1" applyAlignment="1">
      <alignment vertical="top"/>
    </xf>
    <xf numFmtId="179" fontId="65" fillId="17" borderId="0" xfId="2" applyNumberFormat="1" applyFont="1" applyFill="1" applyAlignment="1">
      <alignment vertical="top"/>
    </xf>
    <xf numFmtId="37" fontId="64" fillId="21" borderId="35" xfId="2" applyFont="1" applyFill="1" applyBorder="1" applyAlignment="1">
      <alignment vertical="center"/>
    </xf>
    <xf numFmtId="37" fontId="5" fillId="2" borderId="0" xfId="2" applyFont="1" applyFill="1" applyAlignment="1">
      <alignment horizontal="center" vertical="top"/>
    </xf>
    <xf numFmtId="179" fontId="5" fillId="2" borderId="0" xfId="2" applyNumberFormat="1" applyFont="1" applyFill="1" applyAlignment="1">
      <alignment vertical="top"/>
    </xf>
    <xf numFmtId="179" fontId="5" fillId="2" borderId="0" xfId="2" applyNumberFormat="1" applyFont="1" applyFill="1"/>
    <xf numFmtId="37" fontId="14" fillId="0" borderId="41" xfId="2" applyFont="1" applyBorder="1"/>
    <xf numFmtId="173" fontId="5" fillId="2" borderId="0" xfId="2" applyNumberFormat="1" applyFont="1" applyFill="1" applyAlignment="1">
      <alignment vertical="center" wrapText="1"/>
    </xf>
    <xf numFmtId="173" fontId="14" fillId="2" borderId="0" xfId="2" applyNumberFormat="1" applyFont="1" applyFill="1" applyAlignment="1">
      <alignment horizontal="center" vertical="center"/>
    </xf>
    <xf numFmtId="173" fontId="14" fillId="2" borderId="0" xfId="2" applyNumberFormat="1" applyFont="1" applyFill="1" applyAlignment="1">
      <alignment vertical="top" wrapText="1"/>
    </xf>
    <xf numFmtId="173" fontId="5" fillId="2" borderId="0" xfId="2" applyNumberFormat="1" applyFont="1" applyFill="1" applyAlignment="1">
      <alignment horizontal="center" vertical="center"/>
    </xf>
    <xf numFmtId="173" fontId="14" fillId="2" borderId="0" xfId="2" applyNumberFormat="1" applyFont="1" applyFill="1" applyAlignment="1">
      <alignment vertical="top"/>
    </xf>
    <xf numFmtId="1" fontId="63" fillId="12" borderId="14" xfId="0" applyNumberFormat="1" applyFont="1" applyFill="1" applyBorder="1" applyAlignment="1">
      <alignment horizontal="center" vertical="center"/>
    </xf>
    <xf numFmtId="4" fontId="54" fillId="16" borderId="0" xfId="2" applyNumberFormat="1" applyFont="1" applyFill="1" applyAlignment="1">
      <alignment horizontal="center" vertical="center"/>
    </xf>
    <xf numFmtId="173" fontId="14" fillId="16" borderId="0" xfId="2" applyNumberFormat="1" applyFont="1" applyFill="1" applyAlignment="1">
      <alignment vertical="center"/>
    </xf>
    <xf numFmtId="173" fontId="14" fillId="2" borderId="0" xfId="2" applyNumberFormat="1" applyFont="1" applyFill="1" applyAlignment="1">
      <alignment vertical="center"/>
    </xf>
    <xf numFmtId="1" fontId="26" fillId="2" borderId="0" xfId="0" applyNumberFormat="1" applyFont="1" applyFill="1" applyAlignment="1">
      <alignment horizontal="left" vertical="center"/>
    </xf>
    <xf numFmtId="173" fontId="5" fillId="2" borderId="0" xfId="2" applyNumberFormat="1" applyFont="1" applyFill="1" applyAlignment="1">
      <alignment vertical="top"/>
    </xf>
    <xf numFmtId="173" fontId="14" fillId="17" borderId="0" xfId="2" applyNumberFormat="1" applyFont="1" applyFill="1" applyAlignment="1">
      <alignment vertical="top"/>
    </xf>
    <xf numFmtId="1" fontId="14" fillId="0" borderId="0" xfId="0" applyNumberFormat="1" applyFont="1" applyAlignment="1">
      <alignment horizontal="center" vertical="center"/>
    </xf>
    <xf numFmtId="49" fontId="14" fillId="2" borderId="14" xfId="2" applyNumberFormat="1" applyFont="1" applyFill="1" applyBorder="1" applyAlignment="1">
      <alignment horizontal="center" vertical="center"/>
    </xf>
    <xf numFmtId="1" fontId="14" fillId="2" borderId="16" xfId="2" applyNumberFormat="1" applyFont="1" applyFill="1" applyBorder="1" applyAlignment="1">
      <alignment horizontal="left" vertical="center"/>
    </xf>
    <xf numFmtId="4" fontId="26" fillId="2" borderId="29" xfId="3" applyNumberFormat="1" applyFont="1" applyFill="1" applyBorder="1" applyAlignment="1" applyProtection="1">
      <alignment vertical="center"/>
    </xf>
    <xf numFmtId="1" fontId="14" fillId="2" borderId="18" xfId="2" applyNumberFormat="1" applyFont="1" applyFill="1" applyBorder="1" applyAlignment="1">
      <alignment horizontal="left" vertical="center"/>
    </xf>
    <xf numFmtId="1" fontId="63" fillId="17" borderId="14" xfId="0" applyNumberFormat="1" applyFont="1" applyFill="1" applyBorder="1" applyAlignment="1">
      <alignment horizontal="center" vertical="center"/>
    </xf>
    <xf numFmtId="1" fontId="26" fillId="2" borderId="18" xfId="2" applyNumberFormat="1" applyFont="1" applyFill="1" applyBorder="1" applyAlignment="1">
      <alignment horizontal="left" vertical="center"/>
    </xf>
    <xf numFmtId="173" fontId="5" fillId="2" borderId="0" xfId="2" applyNumberFormat="1" applyFont="1" applyFill="1"/>
    <xf numFmtId="37" fontId="14" fillId="2" borderId="16" xfId="2" applyFont="1" applyFill="1" applyBorder="1" applyAlignment="1">
      <alignment vertical="center"/>
    </xf>
    <xf numFmtId="37" fontId="14" fillId="2" borderId="29" xfId="2" applyFont="1" applyFill="1" applyBorder="1" applyAlignment="1">
      <alignment vertical="center"/>
    </xf>
    <xf numFmtId="37" fontId="14" fillId="2" borderId="30" xfId="2" applyFont="1" applyFill="1" applyBorder="1" applyAlignment="1">
      <alignment horizontal="right" vertical="center"/>
    </xf>
    <xf numFmtId="37" fontId="14" fillId="2" borderId="22" xfId="2" applyFont="1" applyFill="1" applyBorder="1" applyAlignment="1">
      <alignment horizontal="center" vertical="center" wrapText="1"/>
    </xf>
    <xf numFmtId="37" fontId="14" fillId="2" borderId="32" xfId="2" applyFont="1" applyFill="1" applyBorder="1" applyAlignment="1">
      <alignment horizontal="center" vertical="center" wrapText="1"/>
    </xf>
    <xf numFmtId="37" fontId="14" fillId="2" borderId="18" xfId="2" applyFont="1" applyFill="1" applyBorder="1" applyAlignment="1">
      <alignment vertical="center"/>
    </xf>
    <xf numFmtId="37" fontId="14" fillId="2" borderId="0" xfId="2" applyFont="1" applyFill="1" applyAlignment="1">
      <alignment horizontal="centerContinuous" vertical="center"/>
    </xf>
    <xf numFmtId="37" fontId="14" fillId="2" borderId="18" xfId="2" applyFont="1" applyFill="1" applyBorder="1" applyAlignment="1">
      <alignment horizontal="centerContinuous" vertical="center"/>
    </xf>
    <xf numFmtId="4" fontId="47" fillId="2" borderId="0" xfId="3" applyNumberFormat="1" applyFont="1" applyFill="1" applyBorder="1" applyAlignment="1" applyProtection="1">
      <alignment vertical="center"/>
    </xf>
    <xf numFmtId="37" fontId="14" fillId="2" borderId="20" xfId="2" applyFont="1" applyFill="1" applyBorder="1" applyAlignment="1">
      <alignment horizontal="center" vertical="center"/>
    </xf>
    <xf numFmtId="173" fontId="34" fillId="2" borderId="0" xfId="2" applyNumberFormat="1" applyFont="1" applyFill="1" applyAlignment="1">
      <alignment horizontal="center" vertical="center"/>
    </xf>
    <xf numFmtId="1" fontId="5" fillId="2" borderId="18" xfId="2" applyNumberFormat="1" applyFont="1" applyFill="1" applyBorder="1" applyAlignment="1">
      <alignment vertical="center"/>
    </xf>
    <xf numFmtId="168" fontId="14" fillId="2" borderId="0" xfId="2" applyNumberFormat="1" applyFont="1" applyFill="1" applyAlignment="1">
      <alignment vertical="center"/>
    </xf>
    <xf numFmtId="37" fontId="26" fillId="2" borderId="0" xfId="2" applyFont="1" applyFill="1" applyAlignment="1">
      <alignment horizontal="center" vertical="center"/>
    </xf>
    <xf numFmtId="1" fontId="14" fillId="23" borderId="34" xfId="2" applyNumberFormat="1" applyFont="1" applyFill="1" applyBorder="1" applyAlignment="1">
      <alignment horizontal="center" vertical="center"/>
    </xf>
    <xf numFmtId="168" fontId="23" fillId="23" borderId="14" xfId="2" applyNumberFormat="1" applyFont="1" applyFill="1" applyBorder="1" applyAlignment="1">
      <alignment horizontal="center" vertical="center"/>
    </xf>
    <xf numFmtId="168" fontId="14" fillId="23" borderId="14" xfId="2" quotePrefix="1" applyNumberFormat="1" applyFont="1" applyFill="1" applyBorder="1" applyAlignment="1">
      <alignment horizontal="center" vertical="center"/>
    </xf>
    <xf numFmtId="168" fontId="14" fillId="23" borderId="14" xfId="2" applyNumberFormat="1" applyFont="1" applyFill="1" applyBorder="1" applyAlignment="1">
      <alignment horizontal="center" vertical="center"/>
    </xf>
    <xf numFmtId="4" fontId="51" fillId="23" borderId="14" xfId="3" applyNumberFormat="1" applyFont="1" applyFill="1" applyBorder="1" applyAlignment="1" applyProtection="1">
      <alignment vertical="center"/>
    </xf>
    <xf numFmtId="180" fontId="14" fillId="23" borderId="35" xfId="3" quotePrefix="1" applyNumberFormat="1" applyFont="1" applyFill="1" applyBorder="1" applyAlignment="1" applyProtection="1">
      <alignment horizontal="center" vertical="center"/>
    </xf>
    <xf numFmtId="1" fontId="14" fillId="2" borderId="34" xfId="2" applyNumberFormat="1" applyFont="1" applyFill="1" applyBorder="1" applyAlignment="1">
      <alignment horizontal="center" vertical="center"/>
    </xf>
    <xf numFmtId="4" fontId="51" fillId="2" borderId="14" xfId="3" applyNumberFormat="1" applyFont="1" applyFill="1" applyBorder="1" applyAlignment="1" applyProtection="1">
      <alignment vertical="center"/>
    </xf>
    <xf numFmtId="180" fontId="14" fillId="2" borderId="35" xfId="3" quotePrefix="1" applyNumberFormat="1" applyFont="1" applyFill="1" applyBorder="1" applyAlignment="1" applyProtection="1">
      <alignment horizontal="center" vertical="center"/>
    </xf>
    <xf numFmtId="1" fontId="23" fillId="2" borderId="34" xfId="0" applyNumberFormat="1" applyFont="1" applyFill="1" applyBorder="1" applyAlignment="1">
      <alignment horizontal="center" vertical="center"/>
    </xf>
    <xf numFmtId="168" fontId="23" fillId="2" borderId="11" xfId="2" applyNumberFormat="1" applyFont="1" applyFill="1" applyBorder="1" applyAlignment="1">
      <alignment horizontal="center" vertical="center"/>
    </xf>
    <xf numFmtId="168" fontId="14" fillId="2" borderId="11" xfId="2" quotePrefix="1" applyNumberFormat="1" applyFont="1" applyFill="1" applyBorder="1" applyAlignment="1">
      <alignment horizontal="center" vertical="center"/>
    </xf>
    <xf numFmtId="1" fontId="75" fillId="2" borderId="34" xfId="0" applyNumberFormat="1" applyFont="1" applyFill="1" applyBorder="1" applyAlignment="1">
      <alignment horizontal="center" vertical="center"/>
    </xf>
    <xf numFmtId="168" fontId="75" fillId="2" borderId="11" xfId="2" applyNumberFormat="1" applyFont="1" applyFill="1" applyBorder="1" applyAlignment="1">
      <alignment horizontal="center" vertical="center"/>
    </xf>
    <xf numFmtId="168" fontId="75" fillId="2" borderId="11" xfId="2" quotePrefix="1" applyNumberFormat="1" applyFont="1" applyFill="1" applyBorder="1" applyAlignment="1">
      <alignment horizontal="center" vertical="center"/>
    </xf>
    <xf numFmtId="4" fontId="75" fillId="2" borderId="34" xfId="3" applyNumberFormat="1" applyFont="1" applyFill="1" applyBorder="1" applyAlignment="1" applyProtection="1">
      <alignment vertical="center"/>
    </xf>
    <xf numFmtId="180" fontId="75" fillId="2" borderId="14" xfId="3" quotePrefix="1" applyNumberFormat="1" applyFont="1" applyFill="1" applyBorder="1" applyAlignment="1" applyProtection="1">
      <alignment horizontal="center" vertical="center"/>
    </xf>
    <xf numFmtId="43" fontId="60" fillId="2" borderId="35" xfId="5" applyFont="1" applyFill="1" applyBorder="1" applyAlignment="1" applyProtection="1">
      <alignment horizontal="center" vertical="center"/>
    </xf>
    <xf numFmtId="1" fontId="14" fillId="2" borderId="22" xfId="2" applyNumberFormat="1" applyFont="1" applyFill="1" applyBorder="1" applyAlignment="1">
      <alignment vertical="center"/>
    </xf>
    <xf numFmtId="168" fontId="14" fillId="2" borderId="31" xfId="2" applyNumberFormat="1" applyFont="1" applyFill="1" applyBorder="1" applyAlignment="1">
      <alignment vertical="center"/>
    </xf>
    <xf numFmtId="172" fontId="14" fillId="2" borderId="32" xfId="3" applyNumberFormat="1" applyFont="1" applyFill="1" applyBorder="1" applyAlignment="1" applyProtection="1">
      <alignment vertical="center"/>
    </xf>
    <xf numFmtId="1" fontId="23" fillId="2" borderId="22" xfId="2" applyNumberFormat="1" applyFont="1" applyFill="1" applyBorder="1" applyAlignment="1">
      <alignment vertical="center"/>
    </xf>
    <xf numFmtId="168" fontId="23" fillId="2" borderId="31" xfId="2" applyNumberFormat="1" applyFont="1" applyFill="1" applyBorder="1" applyAlignment="1">
      <alignment vertical="center"/>
    </xf>
    <xf numFmtId="172" fontId="23" fillId="2" borderId="32" xfId="3" applyNumberFormat="1" applyFont="1" applyFill="1" applyBorder="1" applyAlignment="1" applyProtection="1">
      <alignment horizontal="center" vertical="center"/>
    </xf>
    <xf numFmtId="4" fontId="28" fillId="2" borderId="32" xfId="3" applyNumberFormat="1" applyFont="1" applyFill="1" applyBorder="1" applyAlignment="1" applyProtection="1">
      <alignment vertical="center"/>
    </xf>
    <xf numFmtId="37" fontId="23" fillId="2" borderId="20" xfId="2" applyFont="1" applyFill="1" applyBorder="1" applyAlignment="1">
      <alignment vertical="center"/>
    </xf>
    <xf numFmtId="1" fontId="23" fillId="2" borderId="22" xfId="2" applyNumberFormat="1" applyFont="1" applyFill="1" applyBorder="1" applyAlignment="1">
      <alignment horizontal="left" vertical="center"/>
    </xf>
    <xf numFmtId="168" fontId="23" fillId="2" borderId="31" xfId="2" applyNumberFormat="1" applyFont="1" applyFill="1" applyBorder="1" applyAlignment="1">
      <alignment horizontal="left" vertical="center"/>
    </xf>
    <xf numFmtId="168" fontId="23" fillId="2" borderId="33" xfId="2" applyNumberFormat="1" applyFont="1" applyFill="1" applyBorder="1" applyAlignment="1">
      <alignment horizontal="left" vertical="center"/>
    </xf>
    <xf numFmtId="168" fontId="23" fillId="2" borderId="31" xfId="2" applyNumberFormat="1" applyFont="1" applyFill="1" applyBorder="1" applyAlignment="1">
      <alignment horizontal="center" vertical="center"/>
    </xf>
    <xf numFmtId="4" fontId="28" fillId="2" borderId="35" xfId="3" applyNumberFormat="1" applyFont="1" applyFill="1" applyBorder="1" applyAlignment="1" applyProtection="1">
      <alignment vertical="center"/>
    </xf>
    <xf numFmtId="1" fontId="14" fillId="2" borderId="18" xfId="2" applyNumberFormat="1" applyFont="1" applyFill="1" applyBorder="1" applyAlignment="1">
      <alignment vertical="center"/>
    </xf>
    <xf numFmtId="180" fontId="14" fillId="2" borderId="35" xfId="3" applyNumberFormat="1" applyFont="1" applyFill="1" applyBorder="1" applyAlignment="1" applyProtection="1">
      <alignment horizontal="center" vertical="center"/>
    </xf>
    <xf numFmtId="4" fontId="28" fillId="2" borderId="31" xfId="3" applyNumberFormat="1" applyFont="1" applyFill="1" applyBorder="1" applyAlignment="1" applyProtection="1">
      <alignment vertical="center"/>
    </xf>
    <xf numFmtId="172" fontId="23" fillId="2" borderId="30" xfId="3" applyNumberFormat="1" applyFont="1" applyFill="1" applyBorder="1" applyAlignment="1" applyProtection="1">
      <alignment horizontal="center" vertical="center"/>
    </xf>
    <xf numFmtId="1" fontId="23" fillId="2" borderId="16" xfId="2" applyNumberFormat="1" applyFont="1" applyFill="1" applyBorder="1" applyAlignment="1">
      <alignment horizontal="left" vertical="center"/>
    </xf>
    <xf numFmtId="168" fontId="23" fillId="2" borderId="0" xfId="2" applyNumberFormat="1" applyFont="1" applyFill="1" applyAlignment="1">
      <alignment horizontal="center" vertical="center"/>
    </xf>
    <xf numFmtId="168" fontId="23" fillId="2" borderId="0" xfId="2" applyNumberFormat="1" applyFont="1" applyFill="1" applyAlignment="1">
      <alignment horizontal="left" vertical="center"/>
    </xf>
    <xf numFmtId="1" fontId="23" fillId="2" borderId="16" xfId="2" applyNumberFormat="1" applyFont="1" applyFill="1" applyBorder="1" applyAlignment="1">
      <alignment horizontal="center" vertical="center"/>
    </xf>
    <xf numFmtId="168" fontId="23" fillId="2" borderId="29" xfId="2" quotePrefix="1" applyNumberFormat="1" applyFont="1" applyFill="1" applyBorder="1" applyAlignment="1">
      <alignment horizontal="center" vertical="center"/>
    </xf>
    <xf numFmtId="4" fontId="23" fillId="2" borderId="29" xfId="3" applyNumberFormat="1" applyFont="1" applyFill="1" applyBorder="1" applyAlignment="1" applyProtection="1">
      <alignment vertical="center"/>
    </xf>
    <xf numFmtId="1" fontId="63" fillId="2" borderId="0" xfId="0" applyNumberFormat="1" applyFont="1" applyFill="1" applyAlignment="1">
      <alignment horizontal="center" vertical="center"/>
    </xf>
    <xf numFmtId="1" fontId="14" fillId="23" borderId="14" xfId="2" applyNumberFormat="1" applyFont="1" applyFill="1" applyBorder="1" applyAlignment="1">
      <alignment horizontal="center" vertical="center"/>
    </xf>
    <xf numFmtId="4" fontId="23" fillId="23" borderId="14" xfId="3" applyNumberFormat="1" applyFont="1" applyFill="1" applyBorder="1" applyAlignment="1" applyProtection="1">
      <alignment vertical="center"/>
    </xf>
    <xf numFmtId="180" fontId="23" fillId="23" borderId="14" xfId="3" applyNumberFormat="1" applyFont="1" applyFill="1" applyBorder="1" applyAlignment="1" applyProtection="1">
      <alignment horizontal="center" vertical="center"/>
    </xf>
    <xf numFmtId="10" fontId="5" fillId="2" borderId="0" xfId="2" applyNumberFormat="1" applyFont="1" applyFill="1" applyAlignment="1">
      <alignment vertical="center"/>
    </xf>
    <xf numFmtId="37" fontId="12" fillId="2" borderId="16" xfId="4" applyFont="1" applyFill="1" applyBorder="1" applyAlignment="1">
      <alignment vertical="center"/>
    </xf>
    <xf numFmtId="37" fontId="12" fillId="2" borderId="29" xfId="4" applyFont="1" applyFill="1" applyBorder="1" applyAlignment="1">
      <alignment vertical="center"/>
    </xf>
    <xf numFmtId="37" fontId="12" fillId="2" borderId="30" xfId="4" applyFont="1" applyFill="1" applyBorder="1" applyAlignment="1">
      <alignment vertical="center"/>
    </xf>
    <xf numFmtId="14" fontId="22" fillId="2" borderId="18" xfId="4" applyNumberFormat="1" applyFont="1" applyFill="1" applyBorder="1" applyAlignment="1">
      <alignment horizontal="left" vertical="center"/>
    </xf>
    <xf numFmtId="37" fontId="22" fillId="2" borderId="0" xfId="4" applyFont="1" applyFill="1" applyAlignment="1">
      <alignment vertical="center"/>
    </xf>
    <xf numFmtId="37" fontId="22" fillId="2" borderId="20" xfId="4" applyFont="1" applyFill="1" applyBorder="1" applyAlignment="1">
      <alignment vertical="center"/>
    </xf>
    <xf numFmtId="4" fontId="14" fillId="2" borderId="0" xfId="2" applyNumberFormat="1" applyFont="1" applyFill="1" applyAlignment="1">
      <alignment vertical="center" wrapText="1"/>
    </xf>
    <xf numFmtId="168" fontId="23" fillId="13" borderId="14" xfId="2" quotePrefix="1" applyNumberFormat="1" applyFont="1" applyFill="1" applyBorder="1" applyAlignment="1">
      <alignment horizontal="center" vertical="center"/>
    </xf>
    <xf numFmtId="10" fontId="14" fillId="2" borderId="0" xfId="2" applyNumberFormat="1" applyFont="1" applyFill="1" applyAlignment="1">
      <alignment vertical="center"/>
    </xf>
    <xf numFmtId="4" fontId="14" fillId="18" borderId="0" xfId="2" applyNumberFormat="1" applyFont="1" applyFill="1" applyAlignment="1">
      <alignment vertical="center"/>
    </xf>
    <xf numFmtId="4" fontId="14" fillId="2" borderId="0" xfId="2" applyNumberFormat="1" applyFont="1" applyFill="1" applyAlignment="1">
      <alignment horizontal="center" vertical="top"/>
    </xf>
    <xf numFmtId="10" fontId="5" fillId="0" borderId="1" xfId="0" applyNumberFormat="1" applyFont="1" applyBorder="1" applyAlignment="1">
      <alignment vertical="center"/>
    </xf>
    <xf numFmtId="10" fontId="10" fillId="0" borderId="7" xfId="0" applyNumberFormat="1" applyFont="1" applyBorder="1" applyAlignment="1">
      <alignment vertical="center"/>
    </xf>
    <xf numFmtId="10" fontId="5" fillId="0" borderId="18" xfId="0" applyNumberFormat="1" applyFont="1" applyBorder="1" applyAlignment="1">
      <alignment vertical="center"/>
    </xf>
    <xf numFmtId="179" fontId="10" fillId="0" borderId="0" xfId="0" applyNumberFormat="1" applyFont="1" applyAlignment="1">
      <alignment vertical="center"/>
    </xf>
    <xf numFmtId="10" fontId="72" fillId="0" borderId="1" xfId="0" applyNumberFormat="1" applyFont="1" applyBorder="1" applyAlignment="1">
      <alignment vertical="center"/>
    </xf>
    <xf numFmtId="4" fontId="14" fillId="0" borderId="9" xfId="3" applyNumberFormat="1" applyFont="1" applyFill="1" applyBorder="1" applyAlignment="1" applyProtection="1">
      <alignment vertical="center"/>
    </xf>
    <xf numFmtId="10" fontId="14" fillId="0" borderId="20" xfId="0" applyNumberFormat="1" applyFont="1" applyBorder="1" applyAlignment="1">
      <alignment vertical="center"/>
    </xf>
    <xf numFmtId="2" fontId="5" fillId="0" borderId="0" xfId="0" applyNumberFormat="1" applyFont="1" applyAlignment="1">
      <alignment horizontal="right" vertical="center"/>
    </xf>
    <xf numFmtId="2" fontId="6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 wrapText="1"/>
    </xf>
    <xf numFmtId="2" fontId="14" fillId="0" borderId="9" xfId="0" applyNumberFormat="1" applyFont="1" applyBorder="1" applyAlignment="1">
      <alignment vertical="center"/>
    </xf>
    <xf numFmtId="2" fontId="9" fillId="0" borderId="9" xfId="0" applyNumberFormat="1" applyFont="1" applyBorder="1" applyAlignment="1">
      <alignment vertical="center"/>
    </xf>
    <xf numFmtId="2" fontId="5" fillId="0" borderId="9" xfId="0" applyNumberFormat="1" applyFont="1" applyBorder="1" applyAlignment="1">
      <alignment vertical="center"/>
    </xf>
    <xf numFmtId="2" fontId="8" fillId="0" borderId="9" xfId="0" applyNumberFormat="1" applyFont="1" applyBorder="1" applyAlignment="1">
      <alignment vertical="center"/>
    </xf>
    <xf numFmtId="2" fontId="5" fillId="0" borderId="11" xfId="0" applyNumberFormat="1" applyFont="1" applyBorder="1" applyAlignment="1">
      <alignment vertical="center"/>
    </xf>
    <xf numFmtId="2" fontId="0" fillId="0" borderId="0" xfId="0" applyNumberFormat="1" applyAlignment="1">
      <alignment vertical="center"/>
    </xf>
    <xf numFmtId="2" fontId="14" fillId="0" borderId="0" xfId="0" applyNumberFormat="1" applyFont="1" applyAlignment="1">
      <alignment vertical="center"/>
    </xf>
    <xf numFmtId="2" fontId="9" fillId="0" borderId="0" xfId="0" applyNumberFormat="1" applyFont="1" applyAlignment="1">
      <alignment vertical="center"/>
    </xf>
    <xf numFmtId="173" fontId="0" fillId="0" borderId="0" xfId="0" applyNumberFormat="1" applyAlignment="1">
      <alignment vertical="center"/>
    </xf>
    <xf numFmtId="4" fontId="76" fillId="0" borderId="0" xfId="0" applyNumberFormat="1" applyFont="1" applyAlignment="1">
      <alignment horizontal="right" vertical="center" wrapText="1"/>
    </xf>
    <xf numFmtId="4" fontId="8" fillId="0" borderId="24" xfId="0" applyNumberFormat="1" applyFont="1" applyBorder="1" applyAlignment="1">
      <alignment horizontal="center" vertical="center" wrapText="1"/>
    </xf>
    <xf numFmtId="10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4" fontId="25" fillId="0" borderId="0" xfId="0" applyNumberFormat="1" applyFont="1" applyAlignment="1">
      <alignment vertical="center"/>
    </xf>
    <xf numFmtId="4" fontId="8" fillId="0" borderId="43" xfId="0" applyNumberFormat="1" applyFont="1" applyBorder="1" applyAlignment="1">
      <alignment vertical="center"/>
    </xf>
    <xf numFmtId="4" fontId="8" fillId="2" borderId="0" xfId="0" applyNumberFormat="1" applyFont="1" applyFill="1" applyAlignment="1">
      <alignment vertical="center"/>
    </xf>
    <xf numFmtId="4" fontId="78" fillId="2" borderId="8" xfId="0" applyNumberFormat="1" applyFont="1" applyFill="1" applyBorder="1" applyAlignment="1">
      <alignment vertical="center"/>
    </xf>
    <xf numFmtId="4" fontId="87" fillId="2" borderId="0" xfId="0" applyNumberFormat="1" applyFont="1" applyFill="1" applyAlignment="1">
      <alignment vertical="center"/>
    </xf>
    <xf numFmtId="4" fontId="79" fillId="0" borderId="0" xfId="0" applyNumberFormat="1" applyFont="1" applyAlignment="1">
      <alignment vertical="center"/>
    </xf>
    <xf numFmtId="10" fontId="78" fillId="2" borderId="9" xfId="0" applyNumberFormat="1" applyFont="1" applyFill="1" applyBorder="1" applyAlignment="1">
      <alignment vertical="center"/>
    </xf>
    <xf numFmtId="10" fontId="78" fillId="2" borderId="20" xfId="0" applyNumberFormat="1" applyFont="1" applyFill="1" applyBorder="1" applyAlignment="1">
      <alignment vertical="center"/>
    </xf>
    <xf numFmtId="4" fontId="78" fillId="0" borderId="0" xfId="0" applyNumberFormat="1" applyFont="1" applyAlignment="1">
      <alignment vertical="center"/>
    </xf>
    <xf numFmtId="166" fontId="79" fillId="0" borderId="0" xfId="0" applyNumberFormat="1" applyFont="1" applyAlignment="1">
      <alignment vertical="center"/>
    </xf>
    <xf numFmtId="166" fontId="78" fillId="0" borderId="0" xfId="0" applyNumberFormat="1" applyFont="1" applyAlignment="1">
      <alignment vertical="center"/>
    </xf>
    <xf numFmtId="2" fontId="78" fillId="0" borderId="0" xfId="0" applyNumberFormat="1" applyFont="1" applyAlignment="1">
      <alignment vertical="center"/>
    </xf>
    <xf numFmtId="4" fontId="82" fillId="2" borderId="0" xfId="0" applyNumberFormat="1" applyFont="1" applyFill="1" applyAlignment="1">
      <alignment vertical="center"/>
    </xf>
    <xf numFmtId="4" fontId="79" fillId="2" borderId="14" xfId="0" applyNumberFormat="1" applyFont="1" applyFill="1" applyBorder="1" applyAlignment="1">
      <alignment horizontal="center" vertical="center" wrapText="1"/>
    </xf>
    <xf numFmtId="4" fontId="79" fillId="2" borderId="5" xfId="0" applyNumberFormat="1" applyFont="1" applyFill="1" applyBorder="1" applyAlignment="1">
      <alignment horizontal="center" vertical="center" wrapText="1"/>
    </xf>
    <xf numFmtId="4" fontId="79" fillId="2" borderId="19" xfId="0" applyNumberFormat="1" applyFont="1" applyFill="1" applyBorder="1" applyAlignment="1">
      <alignment horizontal="center" vertical="center" wrapText="1"/>
    </xf>
    <xf numFmtId="166" fontId="79" fillId="2" borderId="19" xfId="0" applyNumberFormat="1" applyFont="1" applyFill="1" applyBorder="1" applyAlignment="1">
      <alignment horizontal="center" vertical="center" wrapText="1"/>
    </xf>
    <xf numFmtId="4" fontId="79" fillId="2" borderId="48" xfId="0" applyNumberFormat="1" applyFont="1" applyFill="1" applyBorder="1" applyAlignment="1">
      <alignment horizontal="center" vertical="center" wrapText="1"/>
    </xf>
    <xf numFmtId="4" fontId="79" fillId="2" borderId="45" xfId="0" applyNumberFormat="1" applyFont="1" applyFill="1" applyBorder="1" applyAlignment="1">
      <alignment horizontal="center" vertical="center" wrapText="1"/>
    </xf>
    <xf numFmtId="4" fontId="79" fillId="2" borderId="10" xfId="0" applyNumberFormat="1" applyFont="1" applyFill="1" applyBorder="1" applyAlignment="1">
      <alignment horizontal="center" vertical="center" wrapText="1"/>
    </xf>
    <xf numFmtId="166" fontId="79" fillId="2" borderId="10" xfId="0" applyNumberFormat="1" applyFont="1" applyFill="1" applyBorder="1" applyAlignment="1">
      <alignment horizontal="center" vertical="center" wrapText="1"/>
    </xf>
    <xf numFmtId="4" fontId="83" fillId="2" borderId="0" xfId="0" applyNumberFormat="1" applyFont="1" applyFill="1" applyAlignment="1">
      <alignment horizontal="center" vertical="center" wrapText="1"/>
    </xf>
    <xf numFmtId="4" fontId="84" fillId="2" borderId="0" xfId="0" applyNumberFormat="1" applyFont="1" applyFill="1" applyAlignment="1">
      <alignment horizontal="right" vertical="center" wrapText="1"/>
    </xf>
    <xf numFmtId="4" fontId="82" fillId="2" borderId="0" xfId="0" applyNumberFormat="1" applyFont="1" applyFill="1" applyAlignment="1">
      <alignment horizontal="center" vertical="center" wrapText="1"/>
    </xf>
    <xf numFmtId="166" fontId="83" fillId="2" borderId="0" xfId="0" applyNumberFormat="1" applyFont="1" applyFill="1" applyAlignment="1">
      <alignment horizontal="center" vertical="center" wrapText="1"/>
    </xf>
    <xf numFmtId="2" fontId="83" fillId="2" borderId="0" xfId="0" applyNumberFormat="1" applyFont="1" applyFill="1" applyAlignment="1">
      <alignment horizontal="center" vertical="center" wrapText="1"/>
    </xf>
    <xf numFmtId="4" fontId="7" fillId="2" borderId="0" xfId="0" applyNumberFormat="1" applyFont="1" applyFill="1" applyAlignment="1">
      <alignment vertical="center"/>
    </xf>
    <xf numFmtId="4" fontId="86" fillId="2" borderId="0" xfId="0" applyNumberFormat="1" applyFont="1" applyFill="1" applyAlignment="1">
      <alignment vertical="center"/>
    </xf>
    <xf numFmtId="4" fontId="83" fillId="2" borderId="0" xfId="0" applyNumberFormat="1" applyFont="1" applyFill="1" applyAlignment="1">
      <alignment vertical="center"/>
    </xf>
    <xf numFmtId="4" fontId="79" fillId="2" borderId="8" xfId="0" applyNumberFormat="1" applyFont="1" applyFill="1" applyBorder="1" applyAlignment="1">
      <alignment vertical="center"/>
    </xf>
    <xf numFmtId="4" fontId="77" fillId="2" borderId="0" xfId="0" applyNumberFormat="1" applyFont="1" applyFill="1" applyAlignment="1">
      <alignment vertical="center"/>
    </xf>
    <xf numFmtId="4" fontId="79" fillId="2" borderId="9" xfId="0" applyNumberFormat="1" applyFont="1" applyFill="1" applyBorder="1" applyAlignment="1">
      <alignment vertical="center"/>
    </xf>
    <xf numFmtId="4" fontId="79" fillId="2" borderId="0" xfId="0" applyNumberFormat="1" applyFont="1" applyFill="1" applyAlignment="1">
      <alignment vertical="center"/>
    </xf>
    <xf numFmtId="4" fontId="78" fillId="2" borderId="9" xfId="0" applyNumberFormat="1" applyFont="1" applyFill="1" applyBorder="1" applyAlignment="1">
      <alignment vertical="center"/>
    </xf>
    <xf numFmtId="10" fontId="79" fillId="2" borderId="9" xfId="0" applyNumberFormat="1" applyFont="1" applyFill="1" applyBorder="1" applyAlignment="1">
      <alignment vertical="center"/>
    </xf>
    <xf numFmtId="2" fontId="78" fillId="2" borderId="9" xfId="0" applyNumberFormat="1" applyFont="1" applyFill="1" applyBorder="1" applyAlignment="1">
      <alignment vertical="center"/>
    </xf>
    <xf numFmtId="4" fontId="81" fillId="2" borderId="0" xfId="0" applyNumberFormat="1" applyFont="1" applyFill="1" applyAlignment="1">
      <alignment vertical="center"/>
    </xf>
    <xf numFmtId="4" fontId="88" fillId="2" borderId="23" xfId="0" applyNumberFormat="1" applyFont="1" applyFill="1" applyBorder="1" applyAlignment="1">
      <alignment vertical="center"/>
    </xf>
    <xf numFmtId="4" fontId="78" fillId="2" borderId="0" xfId="0" applyNumberFormat="1" applyFont="1" applyFill="1" applyAlignment="1">
      <alignment vertical="center"/>
    </xf>
    <xf numFmtId="179" fontId="85" fillId="2" borderId="0" xfId="0" applyNumberFormat="1" applyFont="1" applyFill="1" applyAlignment="1">
      <alignment vertical="center"/>
    </xf>
    <xf numFmtId="173" fontId="83" fillId="2" borderId="0" xfId="0" applyNumberFormat="1" applyFont="1" applyFill="1" applyAlignment="1">
      <alignment vertical="center"/>
    </xf>
    <xf numFmtId="166" fontId="83" fillId="2" borderId="0" xfId="0" applyNumberFormat="1" applyFont="1" applyFill="1" applyAlignment="1">
      <alignment vertical="center"/>
    </xf>
    <xf numFmtId="2" fontId="83" fillId="2" borderId="0" xfId="0" applyNumberFormat="1" applyFont="1" applyFill="1" applyAlignment="1">
      <alignment vertical="center"/>
    </xf>
    <xf numFmtId="173" fontId="81" fillId="2" borderId="0" xfId="0" applyNumberFormat="1" applyFont="1" applyFill="1" applyAlignment="1">
      <alignment vertical="center"/>
    </xf>
    <xf numFmtId="166" fontId="77" fillId="2" borderId="0" xfId="0" applyNumberFormat="1" applyFont="1" applyFill="1" applyAlignment="1">
      <alignment vertical="center"/>
    </xf>
    <xf numFmtId="2" fontId="77" fillId="2" borderId="0" xfId="0" applyNumberFormat="1" applyFont="1" applyFill="1" applyAlignment="1">
      <alignment vertical="center"/>
    </xf>
    <xf numFmtId="166" fontId="81" fillId="2" borderId="0" xfId="0" applyNumberFormat="1" applyFont="1" applyFill="1" applyAlignment="1">
      <alignment vertical="center"/>
    </xf>
    <xf numFmtId="166" fontId="79" fillId="2" borderId="47" xfId="0" applyNumberFormat="1" applyFont="1" applyFill="1" applyBorder="1" applyAlignment="1">
      <alignment horizontal="center" vertical="center" wrapText="1"/>
    </xf>
    <xf numFmtId="4" fontId="79" fillId="2" borderId="44" xfId="0" applyNumberFormat="1" applyFont="1" applyFill="1" applyBorder="1" applyAlignment="1">
      <alignment horizontal="center" vertical="center" wrapText="1"/>
    </xf>
    <xf numFmtId="166" fontId="79" fillId="2" borderId="14" xfId="0" applyNumberFormat="1" applyFont="1" applyFill="1" applyBorder="1" applyAlignment="1">
      <alignment horizontal="center" vertical="center" wrapText="1"/>
    </xf>
    <xf numFmtId="10" fontId="78" fillId="2" borderId="9" xfId="0" applyNumberFormat="1" applyFont="1" applyFill="1" applyBorder="1" applyAlignment="1">
      <alignment horizontal="center" vertical="center"/>
    </xf>
    <xf numFmtId="4" fontId="79" fillId="2" borderId="1" xfId="0" applyNumberFormat="1" applyFont="1" applyFill="1" applyBorder="1" applyAlignment="1">
      <alignment horizontal="center" vertical="center"/>
    </xf>
    <xf numFmtId="4" fontId="79" fillId="2" borderId="5" xfId="0" applyNumberFormat="1" applyFont="1" applyFill="1" applyBorder="1" applyAlignment="1">
      <alignment vertical="center"/>
    </xf>
    <xf numFmtId="4" fontId="86" fillId="2" borderId="46" xfId="0" applyNumberFormat="1" applyFont="1" applyFill="1" applyBorder="1" applyAlignment="1">
      <alignment vertical="center"/>
    </xf>
    <xf numFmtId="10" fontId="86" fillId="2" borderId="14" xfId="0" applyNumberFormat="1" applyFont="1" applyFill="1" applyBorder="1" applyAlignment="1">
      <alignment horizontal="center" vertical="center"/>
    </xf>
    <xf numFmtId="4" fontId="86" fillId="2" borderId="1" xfId="0" applyNumberFormat="1" applyFont="1" applyFill="1" applyBorder="1" applyAlignment="1">
      <alignment vertical="center"/>
    </xf>
    <xf numFmtId="10" fontId="86" fillId="2" borderId="1" xfId="0" applyNumberFormat="1" applyFont="1" applyFill="1" applyBorder="1" applyAlignment="1">
      <alignment vertical="center"/>
    </xf>
    <xf numFmtId="2" fontId="86" fillId="2" borderId="1" xfId="0" applyNumberFormat="1" applyFont="1" applyFill="1" applyBorder="1" applyAlignment="1">
      <alignment vertical="center"/>
    </xf>
    <xf numFmtId="10" fontId="86" fillId="2" borderId="46" xfId="0" applyNumberFormat="1" applyFont="1" applyFill="1" applyBorder="1" applyAlignment="1">
      <alignment vertical="center"/>
    </xf>
    <xf numFmtId="4" fontId="78" fillId="2" borderId="0" xfId="0" applyNumberFormat="1" applyFont="1" applyFill="1" applyAlignment="1">
      <alignment horizontal="center" vertical="center" wrapText="1"/>
    </xf>
    <xf numFmtId="4" fontId="79" fillId="2" borderId="0" xfId="0" applyNumberFormat="1" applyFont="1" applyFill="1" applyAlignment="1">
      <alignment horizontal="center" vertical="center" wrapText="1"/>
    </xf>
    <xf numFmtId="10" fontId="79" fillId="2" borderId="0" xfId="0" applyNumberFormat="1" applyFont="1" applyFill="1" applyAlignment="1">
      <alignment horizontal="center" vertical="center" wrapText="1"/>
    </xf>
    <xf numFmtId="10" fontId="78" fillId="2" borderId="0" xfId="0" applyNumberFormat="1" applyFont="1" applyFill="1" applyAlignment="1">
      <alignment horizontal="center" vertical="center" wrapText="1"/>
    </xf>
    <xf numFmtId="10" fontId="78" fillId="2" borderId="20" xfId="0" applyNumberFormat="1" applyFont="1" applyFill="1" applyBorder="1" applyAlignment="1">
      <alignment horizontal="center" vertical="center" wrapText="1"/>
    </xf>
    <xf numFmtId="2" fontId="78" fillId="2" borderId="0" xfId="0" applyNumberFormat="1" applyFont="1" applyFill="1" applyAlignment="1">
      <alignment horizontal="center" vertical="center" wrapText="1"/>
    </xf>
    <xf numFmtId="4" fontId="86" fillId="2" borderId="7" xfId="0" applyNumberFormat="1" applyFont="1" applyFill="1" applyBorder="1" applyAlignment="1">
      <alignment vertical="center"/>
    </xf>
    <xf numFmtId="10" fontId="86" fillId="2" borderId="7" xfId="0" applyNumberFormat="1" applyFont="1" applyFill="1" applyBorder="1" applyAlignment="1">
      <alignment horizontal="center" vertical="center"/>
    </xf>
    <xf numFmtId="10" fontId="86" fillId="2" borderId="7" xfId="0" applyNumberFormat="1" applyFont="1" applyFill="1" applyBorder="1" applyAlignment="1">
      <alignment vertical="center"/>
    </xf>
    <xf numFmtId="2" fontId="86" fillId="2" borderId="7" xfId="1" applyNumberFormat="1" applyFont="1" applyFill="1" applyBorder="1" applyAlignment="1">
      <alignment vertical="center"/>
    </xf>
    <xf numFmtId="4" fontId="78" fillId="2" borderId="20" xfId="0" applyNumberFormat="1" applyFont="1" applyFill="1" applyBorder="1" applyAlignment="1">
      <alignment vertical="center"/>
    </xf>
    <xf numFmtId="4" fontId="78" fillId="2" borderId="9" xfId="3" applyNumberFormat="1" applyFont="1" applyFill="1" applyBorder="1" applyAlignment="1" applyProtection="1">
      <alignment vertical="center"/>
    </xf>
    <xf numFmtId="4" fontId="86" fillId="2" borderId="9" xfId="0" applyNumberFormat="1" applyFont="1" applyFill="1" applyBorder="1" applyAlignment="1">
      <alignment vertical="center"/>
    </xf>
    <xf numFmtId="10" fontId="86" fillId="2" borderId="9" xfId="0" applyNumberFormat="1" applyFont="1" applyFill="1" applyBorder="1" applyAlignment="1">
      <alignment horizontal="center" vertical="center"/>
    </xf>
    <xf numFmtId="10" fontId="86" fillId="2" borderId="9" xfId="0" applyNumberFormat="1" applyFont="1" applyFill="1" applyBorder="1" applyAlignment="1">
      <alignment vertical="center"/>
    </xf>
    <xf numFmtId="2" fontId="86" fillId="2" borderId="9" xfId="1" applyNumberFormat="1" applyFont="1" applyFill="1" applyBorder="1" applyAlignment="1">
      <alignment vertical="center"/>
    </xf>
    <xf numFmtId="2" fontId="86" fillId="2" borderId="9" xfId="0" applyNumberFormat="1" applyFont="1" applyFill="1" applyBorder="1" applyAlignment="1">
      <alignment vertical="center"/>
    </xf>
    <xf numFmtId="2" fontId="78" fillId="2" borderId="20" xfId="0" applyNumberFormat="1" applyFont="1" applyFill="1" applyBorder="1" applyAlignment="1">
      <alignment vertical="center"/>
    </xf>
    <xf numFmtId="4" fontId="86" fillId="2" borderId="20" xfId="0" applyNumberFormat="1" applyFont="1" applyFill="1" applyBorder="1" applyAlignment="1">
      <alignment vertical="center"/>
    </xf>
    <xf numFmtId="4" fontId="89" fillId="2" borderId="9" xfId="0" applyNumberFormat="1" applyFont="1" applyFill="1" applyBorder="1" applyAlignment="1">
      <alignment vertical="center"/>
    </xf>
    <xf numFmtId="10" fontId="89" fillId="2" borderId="9" xfId="0" applyNumberFormat="1" applyFont="1" applyFill="1" applyBorder="1" applyAlignment="1">
      <alignment vertical="center"/>
    </xf>
    <xf numFmtId="4" fontId="86" fillId="2" borderId="11" xfId="0" applyNumberFormat="1" applyFont="1" applyFill="1" applyBorder="1" applyAlignment="1">
      <alignment vertical="center"/>
    </xf>
    <xf numFmtId="10" fontId="86" fillId="2" borderId="11" xfId="0" applyNumberFormat="1" applyFont="1" applyFill="1" applyBorder="1" applyAlignment="1">
      <alignment horizontal="center" vertical="center"/>
    </xf>
    <xf numFmtId="4" fontId="90" fillId="2" borderId="11" xfId="0" applyNumberFormat="1" applyFont="1" applyFill="1" applyBorder="1" applyAlignment="1">
      <alignment vertical="center"/>
    </xf>
    <xf numFmtId="10" fontId="90" fillId="2" borderId="11" xfId="0" applyNumberFormat="1" applyFont="1" applyFill="1" applyBorder="1" applyAlignment="1">
      <alignment vertical="center"/>
    </xf>
    <xf numFmtId="10" fontId="86" fillId="2" borderId="11" xfId="0" applyNumberFormat="1" applyFont="1" applyFill="1" applyBorder="1" applyAlignment="1">
      <alignment vertical="center"/>
    </xf>
    <xf numFmtId="4" fontId="86" fillId="2" borderId="32" xfId="0" applyNumberFormat="1" applyFont="1" applyFill="1" applyBorder="1" applyAlignment="1">
      <alignment vertical="center"/>
    </xf>
    <xf numFmtId="2" fontId="86" fillId="2" borderId="11" xfId="0" applyNumberFormat="1" applyFont="1" applyFill="1" applyBorder="1" applyAlignment="1">
      <alignment vertical="center"/>
    </xf>
    <xf numFmtId="4" fontId="91" fillId="2" borderId="0" xfId="0" applyNumberFormat="1" applyFont="1" applyFill="1" applyAlignment="1">
      <alignment vertical="center"/>
    </xf>
    <xf numFmtId="4" fontId="91" fillId="2" borderId="0" xfId="0" quotePrefix="1" applyNumberFormat="1" applyFont="1" applyFill="1" applyAlignment="1">
      <alignment vertical="center"/>
    </xf>
    <xf numFmtId="4" fontId="91" fillId="0" borderId="0" xfId="0" quotePrefix="1" applyNumberFormat="1" applyFont="1" applyAlignment="1">
      <alignment vertical="center"/>
    </xf>
    <xf numFmtId="49" fontId="91" fillId="2" borderId="0" xfId="0" applyNumberFormat="1" applyFont="1" applyFill="1" applyAlignment="1">
      <alignment vertical="center"/>
    </xf>
    <xf numFmtId="49" fontId="91" fillId="2" borderId="0" xfId="0" quotePrefix="1" applyNumberFormat="1" applyFont="1" applyFill="1" applyAlignment="1">
      <alignment vertical="center"/>
    </xf>
    <xf numFmtId="4" fontId="79" fillId="2" borderId="6" xfId="0" applyNumberFormat="1" applyFont="1" applyFill="1" applyBorder="1" applyAlignment="1">
      <alignment vertical="center" wrapText="1"/>
    </xf>
    <xf numFmtId="4" fontId="80" fillId="0" borderId="0" xfId="0" applyNumberFormat="1" applyFont="1" applyAlignment="1">
      <alignment vertical="center"/>
    </xf>
    <xf numFmtId="4" fontId="80" fillId="0" borderId="0" xfId="0" applyNumberFormat="1" applyFont="1" applyAlignment="1">
      <alignment vertical="center" wrapText="1"/>
    </xf>
    <xf numFmtId="173" fontId="79" fillId="2" borderId="0" xfId="0" applyNumberFormat="1" applyFont="1" applyFill="1" applyAlignment="1">
      <alignment vertical="center"/>
    </xf>
    <xf numFmtId="166" fontId="78" fillId="2" borderId="0" xfId="0" applyNumberFormat="1" applyFont="1" applyFill="1" applyAlignment="1">
      <alignment vertical="center"/>
    </xf>
    <xf numFmtId="2" fontId="78" fillId="2" borderId="0" xfId="0" applyNumberFormat="1" applyFont="1" applyFill="1" applyAlignment="1">
      <alignment vertical="center"/>
    </xf>
    <xf numFmtId="166" fontId="79" fillId="2" borderId="0" xfId="0" applyNumberFormat="1" applyFont="1" applyFill="1" applyAlignment="1">
      <alignment vertical="center"/>
    </xf>
    <xf numFmtId="4" fontId="78" fillId="2" borderId="0" xfId="0" applyNumberFormat="1" applyFont="1" applyFill="1" applyAlignment="1">
      <alignment vertical="center" wrapText="1"/>
    </xf>
    <xf numFmtId="4" fontId="78" fillId="2" borderId="0" xfId="0" quotePrefix="1" applyNumberFormat="1" applyFont="1" applyFill="1" applyAlignment="1">
      <alignment vertical="center" wrapText="1"/>
    </xf>
    <xf numFmtId="4" fontId="78" fillId="0" borderId="0" xfId="0" quotePrefix="1" applyNumberFormat="1" applyFont="1" applyAlignment="1">
      <alignment vertical="center" wrapText="1"/>
    </xf>
    <xf numFmtId="49" fontId="78" fillId="2" borderId="0" xfId="0" quotePrefix="1" applyNumberFormat="1" applyFont="1" applyFill="1" applyAlignment="1">
      <alignment vertical="center"/>
    </xf>
    <xf numFmtId="4" fontId="78" fillId="2" borderId="0" xfId="0" quotePrefix="1" applyNumberFormat="1" applyFont="1" applyFill="1" applyAlignment="1">
      <alignment vertical="center"/>
    </xf>
    <xf numFmtId="4" fontId="78" fillId="0" borderId="0" xfId="0" quotePrefix="1" applyNumberFormat="1" applyFont="1" applyAlignment="1">
      <alignment vertical="center"/>
    </xf>
    <xf numFmtId="166" fontId="79" fillId="2" borderId="45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7" fillId="8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4" fontId="8" fillId="8" borderId="1" xfId="0" applyNumberFormat="1" applyFont="1" applyFill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 vertical="center" wrapText="1"/>
    </xf>
    <xf numFmtId="4" fontId="8" fillId="8" borderId="2" xfId="0" applyNumberFormat="1" applyFont="1" applyFill="1" applyBorder="1" applyAlignment="1">
      <alignment horizontal="center" vertical="center" wrapText="1"/>
    </xf>
    <xf numFmtId="166" fontId="8" fillId="0" borderId="2" xfId="0" applyNumberFormat="1" applyFont="1" applyBorder="1" applyAlignment="1">
      <alignment horizontal="center" vertical="center" wrapText="1"/>
    </xf>
    <xf numFmtId="4" fontId="5" fillId="4" borderId="0" xfId="0" applyNumberFormat="1" applyFont="1" applyFill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5" fillId="8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0" borderId="24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23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79" fillId="2" borderId="14" xfId="0" applyNumberFormat="1" applyFont="1" applyFill="1" applyBorder="1" applyAlignment="1">
      <alignment horizontal="center" vertical="center" wrapText="1"/>
    </xf>
    <xf numFmtId="4" fontId="81" fillId="2" borderId="6" xfId="0" applyNumberFormat="1" applyFont="1" applyFill="1" applyBorder="1" applyAlignment="1">
      <alignment horizontal="center" vertical="center" wrapText="1"/>
    </xf>
    <xf numFmtId="4" fontId="81" fillId="2" borderId="10" xfId="0" applyNumberFormat="1" applyFont="1" applyFill="1" applyBorder="1" applyAlignment="1">
      <alignment horizontal="center" vertical="center" wrapText="1"/>
    </xf>
    <xf numFmtId="166" fontId="81" fillId="2" borderId="6" xfId="0" applyNumberFormat="1" applyFont="1" applyFill="1" applyBorder="1" applyAlignment="1">
      <alignment horizontal="center" vertical="center" wrapText="1"/>
    </xf>
    <xf numFmtId="166" fontId="81" fillId="2" borderId="10" xfId="0" applyNumberFormat="1" applyFont="1" applyFill="1" applyBorder="1" applyAlignment="1">
      <alignment horizontal="center" vertical="center" wrapText="1"/>
    </xf>
    <xf numFmtId="4" fontId="79" fillId="2" borderId="34" xfId="0" applyNumberFormat="1" applyFont="1" applyFill="1" applyBorder="1" applyAlignment="1">
      <alignment horizontal="center" vertical="center" wrapText="1"/>
    </xf>
    <xf numFmtId="4" fontId="79" fillId="2" borderId="33" xfId="0" applyNumberFormat="1" applyFont="1" applyFill="1" applyBorder="1" applyAlignment="1">
      <alignment horizontal="center" vertical="center" wrapText="1"/>
    </xf>
    <xf numFmtId="4" fontId="79" fillId="2" borderId="35" xfId="0" applyNumberFormat="1" applyFont="1" applyFill="1" applyBorder="1" applyAlignment="1">
      <alignment horizontal="center" vertical="center" wrapText="1"/>
    </xf>
    <xf numFmtId="4" fontId="80" fillId="0" borderId="0" xfId="0" applyNumberFormat="1" applyFont="1" applyAlignment="1">
      <alignment horizontal="center" vertical="center"/>
    </xf>
    <xf numFmtId="4" fontId="80" fillId="0" borderId="0" xfId="0" applyNumberFormat="1" applyFont="1" applyAlignment="1">
      <alignment horizontal="center" vertical="center" wrapText="1"/>
    </xf>
    <xf numFmtId="4" fontId="78" fillId="2" borderId="0" xfId="0" quotePrefix="1" applyNumberFormat="1" applyFont="1" applyFill="1" applyAlignment="1">
      <alignment horizontal="left" vertical="center" wrapText="1"/>
    </xf>
    <xf numFmtId="49" fontId="78" fillId="2" borderId="0" xfId="0" applyNumberFormat="1" applyFont="1" applyFill="1" applyAlignment="1">
      <alignment horizontal="left" vertical="center" wrapText="1"/>
    </xf>
    <xf numFmtId="49" fontId="78" fillId="2" borderId="0" xfId="0" quotePrefix="1" applyNumberFormat="1" applyFont="1" applyFill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9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left"/>
    </xf>
    <xf numFmtId="49" fontId="7" fillId="0" borderId="0" xfId="0" applyNumberFormat="1" applyFont="1"/>
    <xf numFmtId="4" fontId="19" fillId="5" borderId="1" xfId="0" applyNumberFormat="1" applyFont="1" applyFill="1" applyBorder="1" applyAlignment="1">
      <alignment horizontal="center" vertical="center" wrapText="1"/>
    </xf>
    <xf numFmtId="4" fontId="7" fillId="3" borderId="0" xfId="0" applyNumberFormat="1" applyFont="1" applyFill="1" applyAlignment="1">
      <alignment horizontal="center"/>
    </xf>
    <xf numFmtId="4" fontId="19" fillId="5" borderId="12" xfId="0" applyNumberFormat="1" applyFont="1" applyFill="1" applyBorder="1" applyAlignment="1">
      <alignment horizontal="center" vertical="center" wrapText="1"/>
    </xf>
    <xf numFmtId="4" fontId="19" fillId="5" borderId="13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Alignment="1">
      <alignment horizontal="center"/>
    </xf>
    <xf numFmtId="4" fontId="5" fillId="4" borderId="0" xfId="0" applyNumberFormat="1" applyFont="1" applyFill="1" applyAlignment="1">
      <alignment horizontal="center"/>
    </xf>
    <xf numFmtId="4" fontId="6" fillId="0" borderId="0" xfId="0" applyNumberFormat="1" applyFont="1" applyAlignment="1">
      <alignment horizontal="center"/>
    </xf>
    <xf numFmtId="0" fontId="4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5" fillId="2" borderId="25" xfId="2" applyNumberFormat="1" applyFont="1" applyFill="1" applyBorder="1" applyAlignment="1">
      <alignment horizontal="center" vertical="center" wrapText="1"/>
    </xf>
    <xf numFmtId="0" fontId="41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quotePrefix="1" applyFont="1" applyAlignment="1">
      <alignment horizontal="center" wrapText="1"/>
    </xf>
    <xf numFmtId="0" fontId="42" fillId="0" borderId="0" xfId="0" applyFont="1" applyAlignment="1">
      <alignment horizontal="center"/>
    </xf>
    <xf numFmtId="37" fontId="5" fillId="2" borderId="26" xfId="2" applyFont="1" applyFill="1" applyBorder="1" applyAlignment="1">
      <alignment horizontal="center" vertical="center" wrapText="1"/>
    </xf>
    <xf numFmtId="37" fontId="5" fillId="2" borderId="27" xfId="2" applyFont="1" applyFill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37" fontId="53" fillId="0" borderId="22" xfId="2" applyFont="1" applyBorder="1" applyAlignment="1">
      <alignment horizontal="center" vertical="center"/>
    </xf>
    <xf numFmtId="37" fontId="53" fillId="0" borderId="31" xfId="2" applyFont="1" applyBorder="1" applyAlignment="1">
      <alignment horizontal="center" vertical="center"/>
    </xf>
    <xf numFmtId="37" fontId="53" fillId="0" borderId="32" xfId="2" applyFont="1" applyBorder="1" applyAlignment="1">
      <alignment horizontal="center" vertical="center"/>
    </xf>
    <xf numFmtId="4" fontId="5" fillId="2" borderId="0" xfId="2" applyNumberFormat="1" applyFont="1" applyFill="1" applyAlignment="1">
      <alignment horizontal="left" vertical="center"/>
    </xf>
    <xf numFmtId="37" fontId="10" fillId="0" borderId="18" xfId="2" applyFont="1" applyBorder="1" applyAlignment="1">
      <alignment horizontal="center" vertical="center"/>
    </xf>
    <xf numFmtId="37" fontId="10" fillId="0" borderId="0" xfId="2" applyFont="1" applyAlignment="1">
      <alignment horizontal="center" vertical="center"/>
    </xf>
    <xf numFmtId="37" fontId="29" fillId="0" borderId="0" xfId="4" applyFont="1" applyAlignment="1">
      <alignment horizontal="right" vertical="center"/>
    </xf>
    <xf numFmtId="37" fontId="29" fillId="0" borderId="0" xfId="2" applyFont="1" applyAlignment="1">
      <alignment horizontal="center" vertical="center"/>
    </xf>
    <xf numFmtId="37" fontId="29" fillId="0" borderId="20" xfId="2" applyFont="1" applyBorder="1" applyAlignment="1">
      <alignment horizontal="center" vertical="center"/>
    </xf>
    <xf numFmtId="37" fontId="53" fillId="0" borderId="18" xfId="2" applyFont="1" applyBorder="1" applyAlignment="1">
      <alignment horizontal="center" vertical="center"/>
    </xf>
    <xf numFmtId="37" fontId="53" fillId="0" borderId="0" xfId="2" applyFont="1" applyAlignment="1">
      <alignment horizontal="center" vertical="center"/>
    </xf>
    <xf numFmtId="37" fontId="53" fillId="0" borderId="20" xfId="2" applyFont="1" applyBorder="1" applyAlignment="1">
      <alignment horizontal="center" vertical="center"/>
    </xf>
    <xf numFmtId="37" fontId="14" fillId="0" borderId="9" xfId="2" applyFont="1" applyBorder="1" applyAlignment="1">
      <alignment horizontal="center" vertical="center" wrapText="1"/>
    </xf>
    <xf numFmtId="37" fontId="14" fillId="0" borderId="11" xfId="2" applyFont="1" applyBorder="1" applyAlignment="1">
      <alignment horizontal="center" vertical="center" wrapText="1"/>
    </xf>
    <xf numFmtId="37" fontId="14" fillId="0" borderId="18" xfId="2" applyFont="1" applyBorder="1" applyAlignment="1">
      <alignment horizontal="center" wrapText="1"/>
    </xf>
    <xf numFmtId="37" fontId="14" fillId="0" borderId="20" xfId="2" applyFont="1" applyBorder="1" applyAlignment="1">
      <alignment horizontal="center" wrapText="1"/>
    </xf>
    <xf numFmtId="37" fontId="14" fillId="0" borderId="7" xfId="2" applyFont="1" applyBorder="1" applyAlignment="1">
      <alignment horizontal="center" vertical="center" wrapText="1"/>
    </xf>
    <xf numFmtId="4" fontId="5" fillId="2" borderId="0" xfId="2" applyNumberFormat="1" applyFont="1" applyFill="1" applyAlignment="1">
      <alignment horizontal="center" vertical="top" wrapText="1"/>
    </xf>
    <xf numFmtId="37" fontId="14" fillId="0" borderId="18" xfId="2" applyFont="1" applyBorder="1" applyAlignment="1">
      <alignment horizontal="center" vertical="center"/>
    </xf>
    <xf numFmtId="37" fontId="14" fillId="0" borderId="0" xfId="2" applyFont="1" applyAlignment="1">
      <alignment horizontal="center" vertical="center"/>
    </xf>
    <xf numFmtId="37" fontId="14" fillId="0" borderId="20" xfId="2" applyFont="1" applyBorder="1" applyAlignment="1">
      <alignment horizontal="center" vertical="center"/>
    </xf>
    <xf numFmtId="37" fontId="5" fillId="2" borderId="0" xfId="2" applyFont="1" applyFill="1" applyAlignment="1">
      <alignment horizontal="center" vertical="center" wrapText="1"/>
    </xf>
    <xf numFmtId="37" fontId="14" fillId="0" borderId="18" xfId="2" applyFont="1" applyBorder="1" applyAlignment="1">
      <alignment horizontal="center" vertical="center" wrapText="1"/>
    </xf>
    <xf numFmtId="37" fontId="14" fillId="0" borderId="0" xfId="2" applyFont="1" applyAlignment="1">
      <alignment horizontal="center" vertical="center" wrapText="1"/>
    </xf>
    <xf numFmtId="37" fontId="14" fillId="0" borderId="20" xfId="2" applyFont="1" applyBorder="1" applyAlignment="1">
      <alignment horizontal="center" vertical="center" wrapText="1"/>
    </xf>
    <xf numFmtId="4" fontId="47" fillId="2" borderId="0" xfId="2" applyNumberFormat="1" applyFont="1" applyFill="1" applyAlignment="1">
      <alignment horizontal="center" vertical="center"/>
    </xf>
    <xf numFmtId="37" fontId="14" fillId="0" borderId="22" xfId="2" applyFont="1" applyBorder="1" applyAlignment="1">
      <alignment horizontal="center" vertical="center"/>
    </xf>
    <xf numFmtId="37" fontId="14" fillId="0" borderId="31" xfId="2" applyFont="1" applyBorder="1" applyAlignment="1">
      <alignment horizontal="center" vertical="center"/>
    </xf>
    <xf numFmtId="37" fontId="14" fillId="0" borderId="32" xfId="2" applyFont="1" applyBorder="1" applyAlignment="1">
      <alignment horizontal="center" vertical="center"/>
    </xf>
    <xf numFmtId="37" fontId="23" fillId="0" borderId="18" xfId="2" applyFont="1" applyBorder="1" applyAlignment="1">
      <alignment horizontal="center" vertical="center"/>
    </xf>
    <xf numFmtId="37" fontId="23" fillId="0" borderId="0" xfId="2" applyFont="1" applyAlignment="1">
      <alignment horizontal="center" vertical="center"/>
    </xf>
    <xf numFmtId="37" fontId="23" fillId="0" borderId="20" xfId="2" applyFont="1" applyBorder="1" applyAlignment="1">
      <alignment horizontal="center" vertical="center"/>
    </xf>
    <xf numFmtId="37" fontId="23" fillId="0" borderId="18" xfId="2" applyFont="1" applyBorder="1" applyAlignment="1">
      <alignment horizontal="center" vertical="center" wrapText="1"/>
    </xf>
    <xf numFmtId="37" fontId="23" fillId="0" borderId="0" xfId="2" applyFont="1" applyAlignment="1">
      <alignment horizontal="center" vertical="center" wrapText="1"/>
    </xf>
    <xf numFmtId="37" fontId="23" fillId="0" borderId="20" xfId="2" applyFont="1" applyBorder="1" applyAlignment="1">
      <alignment horizontal="center" vertical="center" wrapText="1"/>
    </xf>
    <xf numFmtId="37" fontId="23" fillId="0" borderId="22" xfId="2" applyFont="1" applyBorder="1" applyAlignment="1">
      <alignment horizontal="center" vertical="center"/>
    </xf>
    <xf numFmtId="37" fontId="23" fillId="0" borderId="31" xfId="2" applyFont="1" applyBorder="1" applyAlignment="1">
      <alignment horizontal="center" vertical="center"/>
    </xf>
    <xf numFmtId="37" fontId="23" fillId="0" borderId="32" xfId="2" applyFont="1" applyBorder="1" applyAlignment="1">
      <alignment horizontal="center" vertical="center"/>
    </xf>
    <xf numFmtId="37" fontId="29" fillId="0" borderId="22" xfId="2" applyFont="1" applyBorder="1" applyAlignment="1">
      <alignment horizontal="center" vertical="center"/>
    </xf>
    <xf numFmtId="37" fontId="29" fillId="0" borderId="31" xfId="2" applyFont="1" applyBorder="1" applyAlignment="1">
      <alignment horizontal="center" vertical="center"/>
    </xf>
    <xf numFmtId="37" fontId="29" fillId="0" borderId="32" xfId="2" applyFont="1" applyBorder="1" applyAlignment="1">
      <alignment horizontal="center" vertical="center"/>
    </xf>
    <xf numFmtId="37" fontId="23" fillId="0" borderId="9" xfId="2" applyFont="1" applyBorder="1" applyAlignment="1">
      <alignment horizontal="center" vertical="center" wrapText="1"/>
    </xf>
    <xf numFmtId="37" fontId="23" fillId="0" borderId="11" xfId="2" applyFont="1" applyBorder="1" applyAlignment="1">
      <alignment horizontal="center" vertical="center" wrapText="1"/>
    </xf>
    <xf numFmtId="37" fontId="23" fillId="0" borderId="18" xfId="2" applyFont="1" applyBorder="1" applyAlignment="1">
      <alignment horizontal="center" wrapText="1"/>
    </xf>
    <xf numFmtId="37" fontId="23" fillId="0" borderId="20" xfId="2" applyFont="1" applyBorder="1" applyAlignment="1">
      <alignment horizontal="center" wrapText="1"/>
    </xf>
    <xf numFmtId="37" fontId="27" fillId="0" borderId="18" xfId="2" applyFont="1" applyBorder="1" applyAlignment="1">
      <alignment horizontal="left" vertical="center" wrapText="1" indent="1"/>
    </xf>
    <xf numFmtId="37" fontId="27" fillId="0" borderId="0" xfId="2" applyFont="1" applyAlignment="1">
      <alignment horizontal="left" vertical="center" wrapText="1" indent="1"/>
    </xf>
    <xf numFmtId="37" fontId="29" fillId="0" borderId="18" xfId="2" applyFont="1" applyBorder="1" applyAlignment="1">
      <alignment horizontal="center" vertical="center"/>
    </xf>
    <xf numFmtId="2" fontId="10" fillId="0" borderId="18" xfId="2" applyNumberFormat="1" applyFont="1" applyBorder="1" applyAlignment="1">
      <alignment horizontal="left" vertical="center"/>
    </xf>
    <xf numFmtId="2" fontId="10" fillId="0" borderId="0" xfId="2" applyNumberFormat="1" applyFont="1" applyAlignment="1">
      <alignment horizontal="left" vertical="center"/>
    </xf>
    <xf numFmtId="37" fontId="10" fillId="0" borderId="18" xfId="2" applyFont="1" applyBorder="1" applyAlignment="1">
      <alignment horizontal="center"/>
    </xf>
    <xf numFmtId="37" fontId="10" fillId="0" borderId="0" xfId="2" applyFont="1" applyAlignment="1">
      <alignment horizontal="center"/>
    </xf>
    <xf numFmtId="1" fontId="23" fillId="0" borderId="34" xfId="2" applyNumberFormat="1" applyFont="1" applyBorder="1" applyAlignment="1">
      <alignment horizontal="justify" vertical="center" wrapText="1"/>
    </xf>
    <xf numFmtId="1" fontId="23" fillId="0" borderId="33" xfId="2" applyNumberFormat="1" applyFont="1" applyBorder="1" applyAlignment="1">
      <alignment horizontal="justify" vertical="center" wrapText="1"/>
    </xf>
    <xf numFmtId="4" fontId="14" fillId="2" borderId="0" xfId="2" applyNumberFormat="1" applyFont="1" applyFill="1" applyAlignment="1">
      <alignment horizontal="center" vertical="center"/>
    </xf>
    <xf numFmtId="1" fontId="5" fillId="0" borderId="18" xfId="2" applyNumberFormat="1" applyFont="1" applyBorder="1" applyAlignment="1">
      <alignment horizontal="left" vertical="center" wrapText="1"/>
    </xf>
    <xf numFmtId="1" fontId="5" fillId="0" borderId="0" xfId="2" applyNumberFormat="1" applyFont="1" applyAlignment="1">
      <alignment horizontal="left" vertical="center" wrapText="1"/>
    </xf>
    <xf numFmtId="4" fontId="63" fillId="2" borderId="18" xfId="2" applyNumberFormat="1" applyFont="1" applyFill="1" applyBorder="1" applyAlignment="1">
      <alignment horizontal="left" vertical="center" wrapText="1"/>
    </xf>
    <xf numFmtId="4" fontId="63" fillId="2" borderId="0" xfId="2" applyNumberFormat="1" applyFont="1" applyFill="1" applyAlignment="1">
      <alignment horizontal="left" vertical="center" wrapText="1"/>
    </xf>
    <xf numFmtId="37" fontId="9" fillId="0" borderId="7" xfId="2" applyFont="1" applyBorder="1" applyAlignment="1">
      <alignment horizontal="center" vertical="center" wrapText="1"/>
    </xf>
    <xf numFmtId="37" fontId="9" fillId="0" borderId="9" xfId="2" applyFont="1" applyBorder="1" applyAlignment="1">
      <alignment horizontal="center" vertical="center" wrapText="1"/>
    </xf>
    <xf numFmtId="37" fontId="9" fillId="0" borderId="11" xfId="2" applyFont="1" applyBorder="1" applyAlignment="1">
      <alignment horizontal="center" vertical="center" wrapText="1"/>
    </xf>
    <xf numFmtId="37" fontId="9" fillId="0" borderId="22" xfId="2" applyFont="1" applyBorder="1" applyAlignment="1">
      <alignment horizontal="center" vertical="center"/>
    </xf>
    <xf numFmtId="37" fontId="9" fillId="0" borderId="31" xfId="2" applyFont="1" applyBorder="1" applyAlignment="1">
      <alignment horizontal="center" vertical="center"/>
    </xf>
    <xf numFmtId="37" fontId="9" fillId="0" borderId="32" xfId="2" applyFont="1" applyBorder="1" applyAlignment="1">
      <alignment horizontal="center" vertical="center"/>
    </xf>
    <xf numFmtId="37" fontId="27" fillId="0" borderId="18" xfId="2" applyFont="1" applyBorder="1" applyAlignment="1">
      <alignment horizontal="left" vertical="center" wrapText="1"/>
    </xf>
    <xf numFmtId="37" fontId="27" fillId="0" borderId="0" xfId="2" applyFont="1" applyAlignment="1">
      <alignment horizontal="left" vertical="center" wrapText="1"/>
    </xf>
    <xf numFmtId="37" fontId="9" fillId="0" borderId="0" xfId="2" applyFont="1" applyAlignment="1">
      <alignment horizontal="center" vertical="center"/>
    </xf>
    <xf numFmtId="37" fontId="9" fillId="0" borderId="20" xfId="2" applyFont="1" applyBorder="1" applyAlignment="1">
      <alignment horizontal="center" vertical="center"/>
    </xf>
    <xf numFmtId="37" fontId="9" fillId="0" borderId="18" xfId="2" applyFont="1" applyBorder="1" applyAlignment="1">
      <alignment horizontal="center" vertical="center"/>
    </xf>
    <xf numFmtId="37" fontId="18" fillId="0" borderId="31" xfId="2" applyFont="1" applyBorder="1" applyAlignment="1">
      <alignment horizontal="center" vertical="center" wrapText="1"/>
    </xf>
    <xf numFmtId="37" fontId="18" fillId="0" borderId="32" xfId="2" applyFont="1" applyBorder="1" applyAlignment="1">
      <alignment horizontal="center" vertical="center" wrapText="1"/>
    </xf>
    <xf numFmtId="1" fontId="14" fillId="0" borderId="18" xfId="2" applyNumberFormat="1" applyFont="1" applyBorder="1" applyAlignment="1">
      <alignment horizontal="left" vertical="center" wrapText="1"/>
    </xf>
    <xf numFmtId="1" fontId="14" fillId="0" borderId="0" xfId="2" applyNumberFormat="1" applyFont="1" applyAlignment="1">
      <alignment horizontal="left" vertical="center" wrapText="1"/>
    </xf>
    <xf numFmtId="4" fontId="54" fillId="14" borderId="18" xfId="2" applyNumberFormat="1" applyFont="1" applyFill="1" applyBorder="1" applyAlignment="1">
      <alignment horizontal="center" vertical="center"/>
    </xf>
    <xf numFmtId="4" fontId="54" fillId="14" borderId="0" xfId="2" applyNumberFormat="1" applyFont="1" applyFill="1" applyAlignment="1">
      <alignment horizontal="center" vertical="center"/>
    </xf>
    <xf numFmtId="0" fontId="6" fillId="0" borderId="0" xfId="0" applyFont="1" applyAlignment="1">
      <alignment horizontal="center"/>
    </xf>
    <xf numFmtId="37" fontId="14" fillId="0" borderId="22" xfId="2" applyFont="1" applyBorder="1" applyAlignment="1">
      <alignment horizontal="left" vertical="center" indent="15"/>
    </xf>
    <xf numFmtId="37" fontId="14" fillId="0" borderId="31" xfId="2" applyFont="1" applyBorder="1" applyAlignment="1">
      <alignment horizontal="left" vertical="center" indent="15"/>
    </xf>
    <xf numFmtId="37" fontId="14" fillId="0" borderId="0" xfId="4" applyFont="1" applyAlignment="1">
      <alignment horizontal="right" vertical="center"/>
    </xf>
    <xf numFmtId="37" fontId="14" fillId="0" borderId="18" xfId="2" applyFont="1" applyBorder="1" applyAlignment="1">
      <alignment horizontal="left" vertical="center" indent="17"/>
    </xf>
    <xf numFmtId="37" fontId="14" fillId="0" borderId="0" xfId="2" applyFont="1" applyAlignment="1">
      <alignment horizontal="left" vertical="center" indent="17"/>
    </xf>
    <xf numFmtId="37" fontId="23" fillId="2" borderId="18" xfId="2" applyFont="1" applyFill="1" applyBorder="1" applyAlignment="1">
      <alignment horizontal="center" vertical="center"/>
    </xf>
    <xf numFmtId="37" fontId="23" fillId="2" borderId="0" xfId="2" applyFont="1" applyFill="1" applyAlignment="1">
      <alignment horizontal="center" vertical="center"/>
    </xf>
    <xf numFmtId="37" fontId="23" fillId="2" borderId="20" xfId="2" applyFont="1" applyFill="1" applyBorder="1" applyAlignment="1">
      <alignment horizontal="center" vertical="center"/>
    </xf>
    <xf numFmtId="37" fontId="23" fillId="2" borderId="18" xfId="2" applyFont="1" applyFill="1" applyBorder="1" applyAlignment="1">
      <alignment horizontal="center" vertical="center" wrapText="1"/>
    </xf>
    <xf numFmtId="37" fontId="23" fillId="2" borderId="0" xfId="2" applyFont="1" applyFill="1" applyAlignment="1">
      <alignment horizontal="center" vertical="center" wrapText="1"/>
    </xf>
    <xf numFmtId="37" fontId="23" fillId="2" borderId="20" xfId="2" applyFont="1" applyFill="1" applyBorder="1" applyAlignment="1">
      <alignment horizontal="center" vertical="center" wrapText="1"/>
    </xf>
    <xf numFmtId="37" fontId="23" fillId="2" borderId="22" xfId="2" applyFont="1" applyFill="1" applyBorder="1" applyAlignment="1">
      <alignment horizontal="center" vertical="center"/>
    </xf>
    <xf numFmtId="37" fontId="23" fillId="2" borderId="31" xfId="2" applyFont="1" applyFill="1" applyBorder="1" applyAlignment="1">
      <alignment horizontal="center" vertical="center"/>
    </xf>
    <xf numFmtId="37" fontId="23" fillId="2" borderId="32" xfId="2" applyFont="1" applyFill="1" applyBorder="1" applyAlignment="1">
      <alignment horizontal="center" vertical="center"/>
    </xf>
    <xf numFmtId="37" fontId="9" fillId="2" borderId="40" xfId="2" applyFont="1" applyFill="1" applyBorder="1" applyAlignment="1">
      <alignment horizontal="center" vertical="center"/>
    </xf>
    <xf numFmtId="37" fontId="9" fillId="2" borderId="41" xfId="2" applyFont="1" applyFill="1" applyBorder="1" applyAlignment="1">
      <alignment horizontal="center" vertical="center"/>
    </xf>
    <xf numFmtId="37" fontId="23" fillId="2" borderId="9" xfId="2" applyFont="1" applyFill="1" applyBorder="1" applyAlignment="1">
      <alignment horizontal="center" vertical="center" wrapText="1"/>
    </xf>
    <xf numFmtId="37" fontId="23" fillId="2" borderId="11" xfId="2" applyFont="1" applyFill="1" applyBorder="1" applyAlignment="1">
      <alignment horizontal="center" vertical="center" wrapText="1"/>
    </xf>
    <xf numFmtId="37" fontId="27" fillId="2" borderId="18" xfId="2" applyFont="1" applyFill="1" applyBorder="1" applyAlignment="1">
      <alignment horizontal="left" vertical="center" wrapText="1"/>
    </xf>
    <xf numFmtId="37" fontId="27" fillId="2" borderId="0" xfId="2" applyFont="1" applyFill="1" applyAlignment="1">
      <alignment horizontal="left" vertical="center" wrapText="1"/>
    </xf>
    <xf numFmtId="37" fontId="9" fillId="2" borderId="0" xfId="2" applyFont="1" applyFill="1" applyAlignment="1">
      <alignment horizontal="center" vertical="center"/>
    </xf>
    <xf numFmtId="37" fontId="9" fillId="2" borderId="20" xfId="2" applyFont="1" applyFill="1" applyBorder="1" applyAlignment="1">
      <alignment horizontal="center" vertical="center"/>
    </xf>
    <xf numFmtId="37" fontId="9" fillId="2" borderId="18" xfId="2" applyFont="1" applyFill="1" applyBorder="1" applyAlignment="1">
      <alignment horizontal="center" vertical="center"/>
    </xf>
    <xf numFmtId="37" fontId="14" fillId="2" borderId="7" xfId="2" applyFont="1" applyFill="1" applyBorder="1" applyAlignment="1">
      <alignment horizontal="center" vertical="center" wrapText="1"/>
    </xf>
    <xf numFmtId="37" fontId="14" fillId="2" borderId="9" xfId="2" applyFont="1" applyFill="1" applyBorder="1" applyAlignment="1">
      <alignment horizontal="center" vertical="center" wrapText="1"/>
    </xf>
    <xf numFmtId="37" fontId="14" fillId="2" borderId="11" xfId="2" applyFont="1" applyFill="1" applyBorder="1" applyAlignment="1">
      <alignment horizontal="center" vertical="center" wrapText="1"/>
    </xf>
    <xf numFmtId="37" fontId="14" fillId="0" borderId="18" xfId="2" applyFont="1" applyBorder="1" applyAlignment="1">
      <alignment horizontal="left" vertical="center" indent="16"/>
    </xf>
    <xf numFmtId="37" fontId="14" fillId="0" borderId="0" xfId="2" applyFont="1" applyAlignment="1">
      <alignment horizontal="left" vertical="center" indent="16"/>
    </xf>
    <xf numFmtId="37" fontId="14" fillId="0" borderId="40" xfId="2" applyFont="1" applyBorder="1" applyAlignment="1">
      <alignment horizontal="left" vertical="center" indent="14"/>
    </xf>
    <xf numFmtId="37" fontId="14" fillId="0" borderId="41" xfId="2" applyFont="1" applyBorder="1" applyAlignment="1">
      <alignment horizontal="left" vertical="center" indent="14"/>
    </xf>
    <xf numFmtId="37" fontId="14" fillId="0" borderId="41" xfId="2" applyFont="1" applyBorder="1" applyAlignment="1">
      <alignment horizontal="center" vertical="center"/>
    </xf>
    <xf numFmtId="37" fontId="14" fillId="0" borderId="42" xfId="2" applyFont="1" applyBorder="1" applyAlignment="1">
      <alignment horizontal="center" vertical="center"/>
    </xf>
    <xf numFmtId="2" fontId="10" fillId="0" borderId="16" xfId="2" applyNumberFormat="1" applyFont="1" applyBorder="1" applyAlignment="1">
      <alignment horizontal="left" vertical="center"/>
    </xf>
    <xf numFmtId="2" fontId="10" fillId="0" borderId="29" xfId="2" applyNumberFormat="1" applyFont="1" applyBorder="1" applyAlignment="1">
      <alignment horizontal="left" vertical="center"/>
    </xf>
    <xf numFmtId="1" fontId="23" fillId="2" borderId="34" xfId="2" applyNumberFormat="1" applyFont="1" applyFill="1" applyBorder="1" applyAlignment="1">
      <alignment horizontal="justify" vertical="center" wrapText="1"/>
    </xf>
    <xf numFmtId="1" fontId="23" fillId="2" borderId="33" xfId="2" applyNumberFormat="1" applyFont="1" applyFill="1" applyBorder="1" applyAlignment="1">
      <alignment horizontal="justify" vertical="center" wrapText="1"/>
    </xf>
    <xf numFmtId="37" fontId="9" fillId="2" borderId="18" xfId="2" applyFont="1" applyFill="1" applyBorder="1" applyAlignment="1">
      <alignment horizontal="left" vertical="center"/>
    </xf>
    <xf numFmtId="37" fontId="9" fillId="2" borderId="0" xfId="2" applyFont="1" applyFill="1" applyAlignment="1">
      <alignment horizontal="left" vertical="center"/>
    </xf>
    <xf numFmtId="37" fontId="9" fillId="2" borderId="40" xfId="2" applyFont="1" applyFill="1" applyBorder="1" applyAlignment="1">
      <alignment horizontal="center" vertical="top"/>
    </xf>
    <xf numFmtId="37" fontId="9" fillId="2" borderId="41" xfId="2" applyFont="1" applyFill="1" applyBorder="1" applyAlignment="1">
      <alignment horizontal="center" vertical="top"/>
    </xf>
    <xf numFmtId="37" fontId="9" fillId="2" borderId="42" xfId="2" applyFont="1" applyFill="1" applyBorder="1" applyAlignment="1">
      <alignment horizontal="center" vertical="top"/>
    </xf>
    <xf numFmtId="37" fontId="10" fillId="2" borderId="18" xfId="2" applyFont="1" applyFill="1" applyBorder="1" applyAlignment="1">
      <alignment horizontal="center" vertical="center"/>
    </xf>
    <xf numFmtId="37" fontId="10" fillId="2" borderId="0" xfId="2" applyFont="1" applyFill="1" applyAlignment="1">
      <alignment horizontal="center" vertical="center"/>
    </xf>
    <xf numFmtId="1" fontId="5" fillId="2" borderId="34" xfId="0" applyNumberFormat="1" applyFont="1" applyFill="1" applyBorder="1" applyAlignment="1">
      <alignment horizontal="left" vertical="center"/>
    </xf>
    <xf numFmtId="1" fontId="5" fillId="2" borderId="33" xfId="0" applyNumberFormat="1" applyFont="1" applyFill="1" applyBorder="1" applyAlignment="1">
      <alignment horizontal="left" vertical="center"/>
    </xf>
    <xf numFmtId="37" fontId="14" fillId="2" borderId="18" xfId="2" applyFont="1" applyFill="1" applyBorder="1" applyAlignment="1">
      <alignment horizontal="center" vertical="center" wrapText="1"/>
    </xf>
    <xf numFmtId="37" fontId="14" fillId="2" borderId="20" xfId="2" applyFont="1" applyFill="1" applyBorder="1" applyAlignment="1">
      <alignment horizontal="center" vertical="center" wrapText="1"/>
    </xf>
    <xf numFmtId="37" fontId="14" fillId="2" borderId="18" xfId="2" applyFont="1" applyFill="1" applyBorder="1" applyAlignment="1">
      <alignment horizontal="center" vertical="center"/>
    </xf>
    <xf numFmtId="37" fontId="14" fillId="2" borderId="0" xfId="2" applyFont="1" applyFill="1" applyAlignment="1">
      <alignment horizontal="center" vertical="center"/>
    </xf>
    <xf numFmtId="37" fontId="14" fillId="2" borderId="20" xfId="2" applyFont="1" applyFill="1" applyBorder="1" applyAlignment="1">
      <alignment horizontal="center" vertical="center"/>
    </xf>
    <xf numFmtId="37" fontId="14" fillId="2" borderId="0" xfId="2" applyFont="1" applyFill="1" applyAlignment="1">
      <alignment horizontal="center" vertical="center" wrapText="1"/>
    </xf>
    <xf numFmtId="37" fontId="14" fillId="2" borderId="22" xfId="2" applyFont="1" applyFill="1" applyBorder="1" applyAlignment="1">
      <alignment horizontal="center" vertical="center"/>
    </xf>
    <xf numFmtId="37" fontId="14" fillId="2" borderId="31" xfId="2" applyFont="1" applyFill="1" applyBorder="1" applyAlignment="1">
      <alignment horizontal="center" vertical="center"/>
    </xf>
    <xf numFmtId="37" fontId="14" fillId="2" borderId="32" xfId="2" applyFont="1" applyFill="1" applyBorder="1" applyAlignment="1">
      <alignment horizontal="center" vertical="center"/>
    </xf>
  </cellXfs>
  <cellStyles count="29">
    <cellStyle name="Millares" xfId="5" builtinId="3"/>
    <cellStyle name="Millares 2" xfId="7" xr:uid="{00000000-0005-0000-0000-000001000000}"/>
    <cellStyle name="Millares 2 2" xfId="15" xr:uid="{00000000-0005-0000-0000-000002000000}"/>
    <cellStyle name="Millares 2 2 2" xfId="25" xr:uid="{00000000-0005-0000-0000-000003000000}"/>
    <cellStyle name="Millares 2 3" xfId="20" xr:uid="{00000000-0005-0000-0000-000004000000}"/>
    <cellStyle name="Millares 3" xfId="9" xr:uid="{00000000-0005-0000-0000-000005000000}"/>
    <cellStyle name="Millares 3 2" xfId="18" xr:uid="{00000000-0005-0000-0000-000006000000}"/>
    <cellStyle name="Millares 3 2 2" xfId="27" xr:uid="{00000000-0005-0000-0000-000007000000}"/>
    <cellStyle name="Millares 3 3" xfId="13" xr:uid="{00000000-0005-0000-0000-000008000000}"/>
    <cellStyle name="Millares 3 4" xfId="22" xr:uid="{00000000-0005-0000-0000-000009000000}"/>
    <cellStyle name="Millares 4" xfId="28" xr:uid="{00000000-0005-0000-0000-00000A000000}"/>
    <cellStyle name="Moneda 2" xfId="3" xr:uid="{00000000-0005-0000-0000-00000B000000}"/>
    <cellStyle name="Normal" xfId="0" builtinId="0"/>
    <cellStyle name="Normal 2" xfId="2" xr:uid="{00000000-0005-0000-0000-00000D000000}"/>
    <cellStyle name="Normal 3" xfId="6" xr:uid="{00000000-0005-0000-0000-00000E000000}"/>
    <cellStyle name="Normal 3 2" xfId="14" xr:uid="{00000000-0005-0000-0000-00000F000000}"/>
    <cellStyle name="Normal 3 2 2" xfId="24" xr:uid="{00000000-0005-0000-0000-000010000000}"/>
    <cellStyle name="Normal 3 3" xfId="19" xr:uid="{00000000-0005-0000-0000-000011000000}"/>
    <cellStyle name="Normal 4" xfId="8" xr:uid="{00000000-0005-0000-0000-000012000000}"/>
    <cellStyle name="Normal 4 2" xfId="17" xr:uid="{00000000-0005-0000-0000-000013000000}"/>
    <cellStyle name="Normal 4 2 2" xfId="26" xr:uid="{00000000-0005-0000-0000-000014000000}"/>
    <cellStyle name="Normal 4 3" xfId="11" xr:uid="{00000000-0005-0000-0000-000015000000}"/>
    <cellStyle name="Normal 4 4" xfId="21" xr:uid="{00000000-0005-0000-0000-000016000000}"/>
    <cellStyle name="Normal 5" xfId="16" xr:uid="{00000000-0005-0000-0000-000017000000}"/>
    <cellStyle name="Normal 6" xfId="10" xr:uid="{00000000-0005-0000-0000-000018000000}"/>
    <cellStyle name="Normal 6 2" xfId="23" xr:uid="{00000000-0005-0000-0000-000019000000}"/>
    <cellStyle name="Normal_RESUMEN DE NOVIEMBRE PF 2011" xfId="4" xr:uid="{00000000-0005-0000-0000-00001A000000}"/>
    <cellStyle name="Porcentaje" xfId="1" builtinId="5"/>
    <cellStyle name="Porcentaje 2" xfId="12" xr:uid="{00000000-0005-0000-0000-00001C000000}"/>
  </cellStyles>
  <dxfs count="0"/>
  <tableStyles count="0" defaultTableStyle="TableStyleMedium2" defaultPivotStyle="PivotStyleLight16"/>
  <colors>
    <mruColors>
      <color rgb="FF996633"/>
      <color rgb="FFCC9900"/>
      <color rgb="FF9999FF"/>
      <color rgb="FFFF5050"/>
      <color rgb="FFFFFF99"/>
      <color rgb="FFFF99FF"/>
      <color rgb="FF00CCFF"/>
      <color rgb="FFCCFF66"/>
      <color rgb="FFFFCC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4.xml"/><Relationship Id="rId50" Type="http://schemas.openxmlformats.org/officeDocument/2006/relationships/externalLink" Target="externalLinks/externalLink7.xml"/><Relationship Id="rId55" Type="http://schemas.openxmlformats.org/officeDocument/2006/relationships/externalLink" Target="externalLinks/externalLink1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externalLink" Target="externalLinks/externalLink2.xml"/><Relationship Id="rId53" Type="http://schemas.openxmlformats.org/officeDocument/2006/relationships/externalLink" Target="externalLinks/externalLink10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5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3.xml"/><Relationship Id="rId59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1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6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1.xml"/><Relationship Id="rId52" Type="http://schemas.openxmlformats.org/officeDocument/2006/relationships/externalLink" Target="externalLinks/externalLink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198120</xdr:colOff>
      <xdr:row>8</xdr:row>
      <xdr:rowOff>220980</xdr:rowOff>
    </xdr:from>
    <xdr:to>
      <xdr:col>2</xdr:col>
      <xdr:colOff>937260</xdr:colOff>
      <xdr:row>8</xdr:row>
      <xdr:rowOff>228600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ShapeType="1"/>
        </xdr:cNvSpPr>
      </xdr:nvSpPr>
      <xdr:spPr bwMode="auto">
        <a:xfrm flipV="1">
          <a:off x="3579495" y="2392680"/>
          <a:ext cx="720090" cy="7620"/>
        </a:xfrm>
        <a:prstGeom prst="line">
          <a:avLst/>
        </a:prstGeom>
        <a:noFill/>
        <a:ln w="57150" cmpd="thickThin">
          <a:solidFill>
            <a:srgbClr val="0000FF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198120</xdr:colOff>
      <xdr:row>8</xdr:row>
      <xdr:rowOff>220980</xdr:rowOff>
    </xdr:from>
    <xdr:to>
      <xdr:col>2</xdr:col>
      <xdr:colOff>937260</xdr:colOff>
      <xdr:row>8</xdr:row>
      <xdr:rowOff>228600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SpPr>
          <a:spLocks noChangeShapeType="1"/>
        </xdr:cNvSpPr>
      </xdr:nvSpPr>
      <xdr:spPr bwMode="auto">
        <a:xfrm flipV="1">
          <a:off x="3579495" y="2516505"/>
          <a:ext cx="720090" cy="7620"/>
        </a:xfrm>
        <a:prstGeom prst="line">
          <a:avLst/>
        </a:prstGeom>
        <a:noFill/>
        <a:ln w="57150" cmpd="thickThin">
          <a:solidFill>
            <a:srgbClr val="0000FF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velia\c\INGRESO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ORGANIZADOR%20DE%20ARCHIVOS%20UTEI/ORGANIZADOR%20Y%20BASE%20DE%20DATOS%202023/INFORME%20RESERVA%202023/2do%20TRIMESTRE%202023/RESERVAS%20JUNIO%202023/PRELIMINAR%20DEP.%20VIGENTE%20SEPTIEMBRE%202022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ORGANIZADOR%20DE%20ARCHIVOS%20UTEI/ORGANIZADOR%20Y%20BASE%20DE%20DATOS%202023/INFORME%20RESERVA%202023/1er%20TRIMESTRE%202023/INVENTARIOS%20VALORES%20Y%20DPF/DEPOSITO%20VIGENTE%20-%20MARZO%202023.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ORGANIZADOR%20DE%20ARCHIVOS%20UTEI/ORGANIZADOR%20Y%20BASE%20DE%20DATOS%202023/INFORME%20RESERVA%202023/1er%20TRIMESTRE%202023/Copia%20de%20DEPOSITO%20VIGENTE%20-%20MARZO%202023%2016%20de%20mayo%20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med01ap16\Unidad%20de%20Inversiones\Documents%20and%20Settings\DI&#211;GENES%20%20CEDE&#209;O\Escritorio\Prog.%20Locales%202003\Prog.%20Locales%202003\ABRIL%20200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DI&#211;GENES%20%20CEDE&#209;O\Escritorio\Prog.%20Locales%202003\Prog.%20Locales%202003\ABRIL%2020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APPS%20Metro\Prog.%20Locales%202003\Prog.%20Locales%202003\ABRIL%20200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g.%20Locales%202003\Prog.%20Locales%202003\ABRIL%20200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dith\c\PRES2000\BASEPOLMETRO2000.xls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microsoft.com/office/2019/04/relationships/externalLinkLongPath" Target="DEPOSITO%20VIGENTE%20DE%20JULIO%202024.xlsx?DB04DE2C" TargetMode="External"/><Relationship Id="rId1" Type="http://schemas.openxmlformats.org/officeDocument/2006/relationships/externalLinkPath" Target="file:///\\DB04DE2C\DEPOSITO%20VIGENTE%20DE%20JULIO%202024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ORGANIZADOR%20DE%20ARCHIVOS%20UTEI/ORGANIZADOR%20Y%20BASE%20DE%20DATOS%202023/INFORME%20RESERVA%202023/2do%20TRIMESTRE%202023/RESERVAS%20JUNIO%202023/3.%20MARZO%202022/12-%20ACCIONES%20LATINCLEAR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ORGANIZADOR%20DE%20ARCHIVOS%20UTEI/ORGANIZADOR%20Y%20BASE%20DE%20DATOS%202023/INFORME%20RESERVA%202023/2do%20TRIMESTRE%202023/RESERVAS%20JUNIO%202023/DEPOSITO%20VIGENTE%20JUNIO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BONO"/>
      <sheetName val="Gráfico1"/>
      <sheetName val="Hoja2"/>
      <sheetName val="sal"/>
      <sheetName val="MIPPE2"/>
      <sheetName val="GRAF1"/>
      <sheetName val="Hoja1"/>
      <sheetName val="año-cor"/>
      <sheetName val="MIPPE 1"/>
      <sheetName val="RECVSPRO"/>
      <sheetName val="RMES 98"/>
      <sheetName val="REC98"/>
      <sheetName val="Hoja3"/>
      <sheetName val="PRO-MEN"/>
      <sheetName val="PRO_MEN"/>
      <sheetName val="MIPPE_1"/>
      <sheetName val="RMES_9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"/>
      <sheetName val="VENC. "/>
      <sheetName val="ADMINISTRACIÓN"/>
      <sheetName val="SERVICIO DE CONTABILIDAD"/>
      <sheetName val="SEGUROS"/>
      <sheetName val="ENFERMEDAD Y MATERNIDAD"/>
      <sheetName val="IVM EXCLUSIVO"/>
      <sheetName val="MIXTO AP Y BD"/>
      <sheetName val="RIESGOS PROFESIONALES"/>
      <sheetName val="FIDEICOMISOS  "/>
      <sheetName val="CENTRO DE PRESTAMO"/>
      <sheetName val="Hoja2"/>
    </sheetNames>
    <sheetDataSet>
      <sheetData sheetId="0"/>
      <sheetData sheetId="1">
        <row r="4">
          <cell r="B4" t="str">
            <v xml:space="preserve"> AL 30 DE SEPTIEMBRE  2022</v>
          </cell>
        </row>
        <row r="6">
          <cell r="G6">
            <v>5353236648.5100002</v>
          </cell>
        </row>
        <row r="176">
          <cell r="B176">
            <v>44839</v>
          </cell>
        </row>
        <row r="177">
          <cell r="B177" t="str">
            <v>Preparado por:    _______________________________________</v>
          </cell>
          <cell r="D177" t="str">
            <v>Revisado por:      ___________________________________</v>
          </cell>
        </row>
        <row r="178">
          <cell r="B178" t="str">
            <v>Liz Mayta</v>
          </cell>
          <cell r="D178" t="str">
            <v xml:space="preserve"> Julio Pérez</v>
          </cell>
        </row>
        <row r="179">
          <cell r="B179" t="str">
            <v>Analista de Presupuesto</v>
          </cell>
          <cell r="C179">
            <v>0</v>
          </cell>
          <cell r="D179" t="str">
            <v>Jefe Encargado de la Sección de Análisis y Programación Financiera</v>
          </cell>
        </row>
      </sheetData>
      <sheetData sheetId="2"/>
      <sheetData sheetId="3">
        <row r="17">
          <cell r="B17" t="str">
            <v xml:space="preserve">FUENTE: DEPTO DE TESORERIA - DNF </v>
          </cell>
        </row>
      </sheetData>
      <sheetData sheetId="4">
        <row r="51">
          <cell r="B51" t="str">
            <v xml:space="preserve">FUENTE: DEPTO DE TESORERIA - DNF 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"/>
      <sheetName val="VENC. "/>
      <sheetName val="ADMINISTRACIÓN"/>
      <sheetName val="SERVICIO DE CONTABILIDAD"/>
      <sheetName val="SEGUROS"/>
      <sheetName val="ENFERMEDAD Y MATERNIDAD"/>
      <sheetName val="IVM EXCLUSIVO"/>
      <sheetName val="MIXTO AP Y BD"/>
      <sheetName val="RIESGOS PROFESIONALES"/>
      <sheetName val="FIDEICOMISOS  "/>
      <sheetName val="CENTRO DE PRESTAMO"/>
      <sheetName val="Bca linea - Vigente"/>
      <sheetName val="Hoja2"/>
    </sheetNames>
    <sheetDataSet>
      <sheetData sheetId="0">
        <row r="9">
          <cell r="F9">
            <v>5521781425.4200001</v>
          </cell>
        </row>
        <row r="45">
          <cell r="B45" t="str">
            <v>29/03/2023</v>
          </cell>
        </row>
      </sheetData>
      <sheetData sheetId="1">
        <row r="4">
          <cell r="B4" t="str">
            <v xml:space="preserve"> AL 31 DE MARZO DE 2023</v>
          </cell>
        </row>
        <row r="6">
          <cell r="G6">
            <v>5521781425.4200001</v>
          </cell>
        </row>
        <row r="206">
          <cell r="B206" t="str">
            <v>Preparado por:    _______________________________________</v>
          </cell>
          <cell r="D206" t="str">
            <v>Revisado por:      ___________________________________</v>
          </cell>
        </row>
        <row r="207">
          <cell r="B207" t="str">
            <v>Julio C. Pérez</v>
          </cell>
          <cell r="D207" t="str">
            <v>Lic. Matilde Jordán</v>
          </cell>
        </row>
        <row r="208">
          <cell r="B208" t="str">
            <v>Analista Financiero</v>
          </cell>
          <cell r="D208" t="str">
            <v>Jefa del Departamento de Tesorería.</v>
          </cell>
        </row>
      </sheetData>
      <sheetData sheetId="2" refreshError="1"/>
      <sheetData sheetId="3">
        <row r="19">
          <cell r="B19" t="str">
            <v xml:space="preserve">FUENTE: DEPTO DE TESORERIA - DNF </v>
          </cell>
        </row>
      </sheetData>
      <sheetData sheetId="4">
        <row r="55">
          <cell r="B55" t="str">
            <v xml:space="preserve">FUENTE: DEPTO DE TESORERIA - DNF 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"/>
      <sheetName val="VENC. "/>
      <sheetName val="ADMINISTRACIÓN"/>
      <sheetName val="SERVICIO DE CONTABILIDAD"/>
      <sheetName val="SEGUROS"/>
      <sheetName val="ENFERMEDAD Y MATERNIDAD"/>
      <sheetName val="IVM EXCLUSIVO"/>
      <sheetName val="MIXTO AP Y BD"/>
      <sheetName val="RIESGOS PROFESIONALES"/>
      <sheetName val="FIDEICOMISOS  "/>
      <sheetName val="CENTRO DE PRESTAMO"/>
      <sheetName val="Bca linea - Vigente"/>
      <sheetName val="Hoja2"/>
    </sheetNames>
    <sheetDataSet>
      <sheetData sheetId="0">
        <row r="45">
          <cell r="B45" t="str">
            <v>29/03/2023</v>
          </cell>
        </row>
      </sheetData>
      <sheetData sheetId="1">
        <row r="4">
          <cell r="B4" t="str">
            <v xml:space="preserve"> AL 31 DE MARZO DE 2023</v>
          </cell>
        </row>
        <row r="208">
          <cell r="B208" t="str">
            <v>Preparado por:    _______________________________________</v>
          </cell>
          <cell r="D208" t="str">
            <v>Revisado por:      ___________________________________</v>
          </cell>
        </row>
        <row r="209">
          <cell r="D209" t="str">
            <v>Lic. Matilde Jordán</v>
          </cell>
        </row>
        <row r="210">
          <cell r="B210" t="str">
            <v>Analista Financiero</v>
          </cell>
          <cell r="D210" t="str">
            <v>Jefa del Departamento de Tesorería.</v>
          </cell>
        </row>
      </sheetData>
      <sheetData sheetId="2"/>
      <sheetData sheetId="3"/>
      <sheetData sheetId="4">
        <row r="55">
          <cell r="B55" t="str">
            <v xml:space="preserve">FUENTE: DEPTO DE TESORERIA - DNF 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d. Gral."/>
      <sheetName val="Cons. Ext."/>
      <sheetName val="C. Trauma"/>
      <sheetName val="S. Técnicos"/>
      <sheetName val="Consolidado"/>
      <sheetName val="Evaluaciones"/>
      <sheetName val="Serv. Interm"/>
      <sheetName val="I CUATRIMESTRE"/>
      <sheetName val="Coord."/>
      <sheetName val="H-1"/>
      <sheetName val="H-2"/>
      <sheetName val="H-3"/>
      <sheetName val="Mensual SOP"/>
      <sheetName val="T. Espera"/>
      <sheetName val="Costo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d. Gral."/>
      <sheetName val="Cons. Ext."/>
      <sheetName val="C. Trauma"/>
      <sheetName val="S. Técnicos"/>
      <sheetName val="Consolidado"/>
      <sheetName val="Evaluaciones"/>
      <sheetName val="Serv. Interm"/>
      <sheetName val="I CUATRIMESTRE"/>
      <sheetName val="Coord."/>
      <sheetName val="H-1"/>
      <sheetName val="H-2"/>
      <sheetName val="H-3"/>
      <sheetName val="Mensual SOP"/>
      <sheetName val="T. Espera"/>
      <sheetName val="Costo-20"/>
      <sheetName val="Med__Gral_"/>
      <sheetName val="Cons__Ext_"/>
      <sheetName val="C__Trauma"/>
      <sheetName val="S__Técnicos"/>
      <sheetName val="Serv__Interm"/>
      <sheetName val="I_CUATRIMESTRE"/>
      <sheetName val="Coord_"/>
      <sheetName val="Mensual_SOP"/>
      <sheetName val="T__Esper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d. Gral."/>
      <sheetName val="Cons. Ext."/>
      <sheetName val="C. Trauma"/>
      <sheetName val="S. Técnicos"/>
      <sheetName val="Consolidado"/>
      <sheetName val="Evaluaciones"/>
      <sheetName val="Serv. Interm"/>
      <sheetName val="I CUATRIMESTRE"/>
      <sheetName val="Coord."/>
      <sheetName val="H-1"/>
      <sheetName val="H-2"/>
      <sheetName val="H-3"/>
      <sheetName val="Mensual SOP"/>
      <sheetName val="T. Espera"/>
      <sheetName val="Costo-20"/>
      <sheetName val="Med__Gral_"/>
      <sheetName val="Cons__Ext_"/>
      <sheetName val="C__Trauma"/>
      <sheetName val="S__Técnicos"/>
      <sheetName val="Serv__Interm"/>
      <sheetName val="I_CUATRIMESTRE"/>
      <sheetName val="Coord_"/>
      <sheetName val="Mensual_SOP"/>
      <sheetName val="T__Esper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d. Gral."/>
      <sheetName val="Cons. Ext."/>
      <sheetName val="C. Trauma"/>
      <sheetName val="S. Técnicos"/>
      <sheetName val="Consolidado"/>
      <sheetName val="Evaluaciones"/>
      <sheetName val="Serv. Interm"/>
      <sheetName val="I CUATRIMESTRE"/>
      <sheetName val="Coord."/>
      <sheetName val="H-1"/>
      <sheetName val="H-2"/>
      <sheetName val="H-3"/>
      <sheetName val="Mensual SOP"/>
      <sheetName val="T. Espera"/>
      <sheetName val="Costo-20"/>
      <sheetName val="Med__Gral_"/>
      <sheetName val="Cons__Ext_"/>
      <sheetName val="C__Trauma"/>
      <sheetName val="S__Técnicos"/>
      <sheetName val="Serv__Interm"/>
      <sheetName val="I_CUATRIMESTRE"/>
      <sheetName val="Coord_"/>
      <sheetName val="Mensual_SOP"/>
      <sheetName val="T__Esper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L -HOSP"/>
      <sheetName val="POLICLINICAS Y HOSPITALES"/>
      <sheetName val="ULAPS DE CONTADORA "/>
      <sheetName val="BASE853"/>
    </sheetNames>
    <sheetDataSet>
      <sheetData sheetId="0">
        <row r="1">
          <cell r="A1" t="str">
            <v>PROGRAMA</v>
          </cell>
        </row>
      </sheetData>
      <sheetData sheetId="1"/>
      <sheetData sheetId="2" refreshError="1">
        <row r="1">
          <cell r="A1" t="str">
            <v>PROGRAMA</v>
          </cell>
          <cell r="B1" t="str">
            <v>PROVINCIA</v>
          </cell>
          <cell r="C1" t="str">
            <v>UNIDAD EJECUTORA  Y PROVINCIA</v>
          </cell>
          <cell r="D1" t="str">
            <v>objeto de gasto</v>
          </cell>
          <cell r="E1" t="str">
            <v>nombre de objeto de gasto</v>
          </cell>
          <cell r="F1" t="str">
            <v>C1992</v>
          </cell>
          <cell r="G1" t="str">
            <v>C1993</v>
          </cell>
          <cell r="H1" t="str">
            <v>C1994</v>
          </cell>
          <cell r="I1" t="str">
            <v>C1995</v>
          </cell>
          <cell r="J1" t="str">
            <v>C1996</v>
          </cell>
          <cell r="K1" t="str">
            <v>C1997</v>
          </cell>
          <cell r="L1">
            <v>1998</v>
          </cell>
          <cell r="M1" t="str">
            <v>COMP A MAYO     1999</v>
          </cell>
          <cell r="N1" t="str">
            <v>presupuesto1996</v>
          </cell>
          <cell r="O1" t="str">
            <v>presupuesto 1997</v>
          </cell>
          <cell r="P1" t="str">
            <v>presupuesto 1998</v>
          </cell>
          <cell r="Q1" t="str">
            <v>presupuesto 1999</v>
          </cell>
          <cell r="R1" t="str">
            <v>TSUMA</v>
          </cell>
          <cell r="S1" t="str">
            <v>ANUALIZACION</v>
          </cell>
          <cell r="U1" t="str">
            <v>NECEISADES ACTUALES</v>
          </cell>
          <cell r="V1" t="str">
            <v>CIFRAS DE PERSONAL</v>
          </cell>
          <cell r="Y1" t="str">
            <v>TOTAL</v>
          </cell>
          <cell r="Z1" t="str">
            <v>SOLICITADO DEL AREA 2000</v>
          </cell>
        </row>
      </sheetData>
      <sheetData sheetId="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"/>
      <sheetName val="VENC. "/>
      <sheetName val="ADMINISTRACIÓN"/>
      <sheetName val="SERV CONTABILIDAD"/>
      <sheetName val="SEGUROS"/>
      <sheetName val="EYM"/>
      <sheetName val="IVM EXCLUSIVO"/>
      <sheetName val="MIXTO AP Y BD"/>
      <sheetName val="RP"/>
      <sheetName val="FIDEICOMISOS  "/>
      <sheetName val="CENTRO DE PRESTAMO"/>
      <sheetName val="Bca linea - Vigente"/>
      <sheetName val="Hoja2"/>
    </sheetNames>
    <sheetDataSet>
      <sheetData sheetId="0" refreshError="1"/>
      <sheetData sheetId="1" refreshError="1"/>
      <sheetData sheetId="2">
        <row r="11">
          <cell r="I11">
            <v>649293396.71000004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uevo"/>
    </sheetNames>
    <sheetDataSet>
      <sheetData sheetId="0">
        <row r="10">
          <cell r="F10">
            <v>96050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"/>
      <sheetName val="VENC. "/>
      <sheetName val="ADMINISTRACIÓN"/>
      <sheetName val="SERVICIO DE CONTABILIDAD"/>
      <sheetName val="SEGUROS"/>
      <sheetName val="MIXTO AP Y BD"/>
      <sheetName val="RIESGOS PROFESIONALES"/>
      <sheetName val="ENFERMEDAD Y MATERNIDAD"/>
      <sheetName val="IVM EXCLUSIVO"/>
      <sheetName val="FIDEICOMISOS  "/>
      <sheetName val="CENTRO DE PRESTAMO"/>
      <sheetName val="Hoja2"/>
      <sheetName val="Hoja1"/>
    </sheetNames>
    <sheetDataSet>
      <sheetData sheetId="0" refreshError="1"/>
      <sheetData sheetId="1">
        <row r="4">
          <cell r="B4" t="str">
            <v>AL 30 DE JUNIO 2022</v>
          </cell>
        </row>
        <row r="6">
          <cell r="G6">
            <v>5590.01</v>
          </cell>
        </row>
        <row r="167">
          <cell r="B167">
            <v>44778</v>
          </cell>
        </row>
        <row r="168">
          <cell r="B168" t="str">
            <v>Preparado por:    _______________________________________</v>
          </cell>
          <cell r="D168" t="str">
            <v>Revisado por:      ___________________________________</v>
          </cell>
        </row>
        <row r="169">
          <cell r="B169" t="str">
            <v>CARLOS MIRANDA</v>
          </cell>
          <cell r="D169" t="str">
            <v>JULIO PEREZ</v>
          </cell>
        </row>
        <row r="170">
          <cell r="B170" t="str">
            <v>Analista Financiero II</v>
          </cell>
          <cell r="D170" t="str">
            <v>Jefe Encargado de la Sección de Análisis y Programación Financiera</v>
          </cell>
        </row>
      </sheetData>
      <sheetData sheetId="2" refreshError="1"/>
      <sheetData sheetId="3" refreshError="1"/>
      <sheetData sheetId="4">
        <row r="51">
          <cell r="B51" t="str">
            <v xml:space="preserve">FUENTE: DEPTO DE TESORERIA - DNF 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00CC"/>
  </sheetPr>
  <dimension ref="B1:AC56"/>
  <sheetViews>
    <sheetView showGridLines="0" zoomScaleNormal="100" workbookViewId="0">
      <selection sqref="A1:AB43"/>
    </sheetView>
  </sheetViews>
  <sheetFormatPr baseColWidth="10" defaultColWidth="11.453125" defaultRowHeight="13" x14ac:dyDescent="0.25"/>
  <cols>
    <col min="1" max="1" width="3.1796875" style="30" customWidth="1"/>
    <col min="2" max="2" width="48.7265625" style="30" customWidth="1"/>
    <col min="3" max="3" width="0.81640625" style="30" customWidth="1"/>
    <col min="4" max="4" width="14.26953125" style="31" hidden="1" customWidth="1"/>
    <col min="5" max="5" width="14.26953125" style="193" customWidth="1"/>
    <col min="6" max="6" width="1" style="30" customWidth="1"/>
    <col min="7" max="7" width="13.7265625" style="30" hidden="1" customWidth="1"/>
    <col min="8" max="8" width="13.7265625" style="185" customWidth="1"/>
    <col min="9" max="9" width="17.7265625" style="30" hidden="1" customWidth="1"/>
    <col min="10" max="10" width="17.7265625" style="185" customWidth="1"/>
    <col min="11" max="11" width="13.7265625" style="30" hidden="1" customWidth="1"/>
    <col min="12" max="12" width="13.7265625" style="185" customWidth="1"/>
    <col min="13" max="13" width="13.7265625" style="30" hidden="1" customWidth="1"/>
    <col min="14" max="14" width="13.7265625" style="185" customWidth="1"/>
    <col min="15" max="15" width="13.7265625" style="30" hidden="1" customWidth="1"/>
    <col min="16" max="16" width="13.7265625" style="185" customWidth="1"/>
    <col min="17" max="17" width="15.7265625" style="30" hidden="1" customWidth="1"/>
    <col min="18" max="18" width="18.54296875" style="185" customWidth="1"/>
    <col min="19" max="19" width="15.7265625" style="30" hidden="1" customWidth="1"/>
    <col min="20" max="20" width="15.7265625" style="185" customWidth="1"/>
    <col min="21" max="21" width="16.7265625" style="30" hidden="1" customWidth="1"/>
    <col min="22" max="22" width="16.7265625" style="185" customWidth="1"/>
    <col min="23" max="23" width="16.7265625" style="32" hidden="1" customWidth="1"/>
    <col min="24" max="24" width="16.7265625" style="181" customWidth="1"/>
    <col min="25" max="25" width="10.7265625" style="32" hidden="1" customWidth="1"/>
    <col min="26" max="26" width="10.7265625" style="181" customWidth="1"/>
    <col min="27" max="27" width="11.26953125" style="32" hidden="1" customWidth="1"/>
    <col min="28" max="28" width="11.26953125" style="181" customWidth="1"/>
    <col min="29" max="16384" width="11.453125" style="30"/>
  </cols>
  <sheetData>
    <row r="1" spans="2:29" ht="15.5" x14ac:dyDescent="0.25">
      <c r="B1" s="137"/>
      <c r="C1" s="138"/>
      <c r="D1" s="138"/>
      <c r="E1" s="182"/>
      <c r="F1" s="138"/>
      <c r="G1" s="138"/>
      <c r="H1" s="182"/>
      <c r="I1" s="138"/>
      <c r="J1" s="182"/>
      <c r="K1" s="138"/>
      <c r="L1" s="182"/>
      <c r="M1" s="138"/>
      <c r="N1" s="182"/>
      <c r="O1" s="138"/>
      <c r="P1" s="182"/>
      <c r="Q1" s="138"/>
      <c r="R1" s="182"/>
      <c r="S1" s="138"/>
      <c r="T1" s="182"/>
      <c r="U1" s="138"/>
      <c r="V1" s="182"/>
      <c r="W1" s="139"/>
      <c r="X1" s="175"/>
      <c r="Y1" s="1587"/>
      <c r="Z1" s="1587"/>
      <c r="AA1" s="1587"/>
      <c r="AB1" s="185"/>
    </row>
    <row r="2" spans="2:29" ht="21" customHeight="1" x14ac:dyDescent="0.25">
      <c r="B2" s="1579" t="s">
        <v>0</v>
      </c>
      <c r="C2" s="1579"/>
      <c r="D2" s="1579"/>
      <c r="E2" s="1579"/>
      <c r="F2" s="1579"/>
      <c r="G2" s="1579"/>
      <c r="H2" s="1579"/>
      <c r="I2" s="1579"/>
      <c r="J2" s="1579"/>
      <c r="K2" s="1579"/>
      <c r="L2" s="1579"/>
      <c r="M2" s="1579"/>
      <c r="N2" s="1579"/>
      <c r="O2" s="1579"/>
      <c r="P2" s="1579"/>
      <c r="Q2" s="1579"/>
      <c r="R2" s="1579"/>
      <c r="S2" s="1579"/>
      <c r="T2" s="1579"/>
      <c r="U2" s="1579"/>
      <c r="V2" s="1579"/>
      <c r="W2" s="1579"/>
      <c r="X2" s="1579"/>
      <c r="Y2" s="1579"/>
      <c r="Z2" s="1579"/>
      <c r="AA2" s="1579"/>
      <c r="AB2" s="1579"/>
    </row>
    <row r="3" spans="2:29" ht="21" customHeight="1" x14ac:dyDescent="0.25">
      <c r="B3" s="1579" t="s">
        <v>1</v>
      </c>
      <c r="C3" s="1579"/>
      <c r="D3" s="1579"/>
      <c r="E3" s="1579"/>
      <c r="F3" s="1579"/>
      <c r="G3" s="1579"/>
      <c r="H3" s="1579"/>
      <c r="I3" s="1579"/>
      <c r="J3" s="1579"/>
      <c r="K3" s="1579"/>
      <c r="L3" s="1579"/>
      <c r="M3" s="1579"/>
      <c r="N3" s="1579"/>
      <c r="O3" s="1579"/>
      <c r="P3" s="1579"/>
      <c r="Q3" s="1579"/>
      <c r="R3" s="1579"/>
      <c r="S3" s="1579"/>
      <c r="T3" s="1579"/>
      <c r="U3" s="1579"/>
      <c r="V3" s="1579"/>
      <c r="W3" s="1579"/>
      <c r="X3" s="1579"/>
      <c r="Y3" s="1579"/>
      <c r="Z3" s="1579"/>
      <c r="AA3" s="1579"/>
      <c r="AB3" s="1579"/>
    </row>
    <row r="4" spans="2:29" ht="21" customHeight="1" x14ac:dyDescent="0.25">
      <c r="B4" s="1579" t="s">
        <v>82</v>
      </c>
      <c r="C4" s="1579"/>
      <c r="D4" s="1579"/>
      <c r="E4" s="1579"/>
      <c r="F4" s="1579"/>
      <c r="G4" s="1579"/>
      <c r="H4" s="1579"/>
      <c r="I4" s="1579"/>
      <c r="J4" s="1579"/>
      <c r="K4" s="1579"/>
      <c r="L4" s="1579"/>
      <c r="M4" s="1579"/>
      <c r="N4" s="1579"/>
      <c r="O4" s="1579"/>
      <c r="P4" s="1579"/>
      <c r="Q4" s="1579"/>
      <c r="R4" s="1579"/>
      <c r="S4" s="1579"/>
      <c r="T4" s="1579"/>
      <c r="U4" s="1579"/>
      <c r="V4" s="1579"/>
      <c r="W4" s="1579"/>
      <c r="X4" s="1579"/>
      <c r="Y4" s="1579"/>
      <c r="Z4" s="1579"/>
      <c r="AA4" s="1579"/>
      <c r="AB4" s="1579"/>
    </row>
    <row r="5" spans="2:29" ht="21" customHeight="1" x14ac:dyDescent="0.25">
      <c r="B5" s="1579"/>
      <c r="C5" s="1579"/>
      <c r="D5" s="1579"/>
      <c r="E5" s="1579"/>
      <c r="F5" s="1579"/>
      <c r="G5" s="1579"/>
      <c r="H5" s="1579"/>
      <c r="I5" s="1579"/>
      <c r="J5" s="1579"/>
      <c r="K5" s="1579"/>
      <c r="L5" s="1579"/>
      <c r="M5" s="1579"/>
      <c r="N5" s="1579"/>
      <c r="O5" s="1579"/>
      <c r="P5" s="1579"/>
      <c r="Q5" s="1579"/>
      <c r="R5" s="1579"/>
      <c r="S5" s="1579"/>
      <c r="T5" s="1579"/>
      <c r="U5" s="1579"/>
      <c r="V5" s="1579"/>
      <c r="W5" s="1579"/>
      <c r="X5" s="1579"/>
      <c r="Y5" s="1579"/>
      <c r="Z5" s="1579"/>
      <c r="AA5" s="1579"/>
      <c r="AB5" s="1579"/>
      <c r="AC5" s="30" t="s">
        <v>549</v>
      </c>
    </row>
    <row r="6" spans="2:29" ht="21" customHeight="1" x14ac:dyDescent="0.25">
      <c r="B6" s="1580" t="s">
        <v>86</v>
      </c>
      <c r="C6" s="1580"/>
      <c r="D6" s="1580"/>
      <c r="E6" s="1580"/>
      <c r="F6" s="1580"/>
      <c r="G6" s="1580"/>
      <c r="H6" s="1580"/>
      <c r="I6" s="1580"/>
      <c r="J6" s="1580"/>
      <c r="K6" s="1580"/>
      <c r="L6" s="1580"/>
      <c r="M6" s="1580"/>
      <c r="N6" s="1580"/>
      <c r="O6" s="1580"/>
      <c r="P6" s="1580"/>
      <c r="Q6" s="1580"/>
      <c r="R6" s="1580"/>
      <c r="S6" s="1580"/>
      <c r="T6" s="1580"/>
      <c r="U6" s="1580"/>
      <c r="V6" s="1580"/>
      <c r="W6" s="1580"/>
      <c r="X6" s="1580"/>
      <c r="Y6" s="1580"/>
      <c r="Z6" s="1580"/>
      <c r="AA6" s="1580"/>
      <c r="AB6" s="1580"/>
    </row>
    <row r="7" spans="2:29" ht="21" customHeight="1" x14ac:dyDescent="0.25">
      <c r="B7" s="1579" t="s">
        <v>4</v>
      </c>
      <c r="C7" s="1579"/>
      <c r="D7" s="1579"/>
      <c r="E7" s="1579"/>
      <c r="F7" s="1579"/>
      <c r="G7" s="1579"/>
      <c r="H7" s="1579"/>
      <c r="I7" s="1579"/>
      <c r="J7" s="1579"/>
      <c r="K7" s="1579"/>
      <c r="L7" s="1579"/>
      <c r="M7" s="1579"/>
      <c r="N7" s="1579"/>
      <c r="O7" s="1579"/>
      <c r="P7" s="1579"/>
      <c r="Q7" s="1579"/>
      <c r="R7" s="1579"/>
      <c r="S7" s="1579"/>
      <c r="T7" s="1579"/>
      <c r="U7" s="1579"/>
      <c r="V7" s="1579"/>
      <c r="W7" s="1579"/>
      <c r="X7" s="1579"/>
      <c r="Y7" s="1579"/>
      <c r="Z7" s="1579"/>
      <c r="AA7" s="1579"/>
      <c r="AB7" s="1579"/>
    </row>
    <row r="8" spans="2:29" ht="9.75" customHeight="1" x14ac:dyDescent="0.25">
      <c r="B8" s="153"/>
      <c r="C8" s="153"/>
      <c r="D8" s="140"/>
      <c r="E8" s="183"/>
      <c r="F8" s="153"/>
      <c r="G8" s="140"/>
      <c r="H8" s="183"/>
      <c r="I8" s="153"/>
      <c r="J8" s="176"/>
      <c r="K8" s="140"/>
      <c r="L8" s="183"/>
      <c r="M8" s="153"/>
      <c r="N8" s="176"/>
      <c r="O8" s="153"/>
      <c r="P8" s="176"/>
      <c r="Q8" s="153"/>
      <c r="R8" s="176"/>
      <c r="S8" s="153"/>
      <c r="T8" s="176"/>
      <c r="U8" s="140"/>
      <c r="V8" s="183"/>
      <c r="W8" s="153"/>
      <c r="X8" s="176"/>
      <c r="Y8" s="153"/>
      <c r="Z8" s="176"/>
      <c r="AA8" s="153"/>
      <c r="AB8" s="176"/>
    </row>
    <row r="9" spans="2:29" ht="25.5" customHeight="1" x14ac:dyDescent="0.25">
      <c r="B9" s="1588" t="s">
        <v>56</v>
      </c>
      <c r="C9" s="31"/>
      <c r="D9" s="1589" t="s">
        <v>57</v>
      </c>
      <c r="E9" s="1590" t="s">
        <v>57</v>
      </c>
      <c r="F9" s="31"/>
      <c r="G9" s="1591" t="s">
        <v>59</v>
      </c>
      <c r="H9" s="1592"/>
      <c r="I9" s="1592"/>
      <c r="J9" s="1592"/>
      <c r="K9" s="1592"/>
      <c r="L9" s="1592"/>
      <c r="M9" s="1592"/>
      <c r="N9" s="1592"/>
      <c r="O9" s="1592"/>
      <c r="P9" s="1593"/>
      <c r="Q9" s="1583" t="s">
        <v>63</v>
      </c>
      <c r="R9" s="1584" t="s">
        <v>63</v>
      </c>
      <c r="S9" s="1583" t="s">
        <v>64</v>
      </c>
      <c r="T9" s="1584" t="s">
        <v>64</v>
      </c>
      <c r="U9" s="1594" t="s">
        <v>65</v>
      </c>
      <c r="V9" s="1595"/>
      <c r="W9" s="1595"/>
      <c r="X9" s="1595"/>
      <c r="Y9" s="1595"/>
      <c r="Z9" s="1595"/>
      <c r="AA9" s="1595"/>
      <c r="AB9" s="1596"/>
    </row>
    <row r="10" spans="2:29" ht="45.75" customHeight="1" x14ac:dyDescent="0.25">
      <c r="B10" s="1588"/>
      <c r="C10" s="31"/>
      <c r="D10" s="1589"/>
      <c r="E10" s="1590"/>
      <c r="F10" s="31"/>
      <c r="G10" s="1585" t="s">
        <v>58</v>
      </c>
      <c r="H10" s="1586" t="s">
        <v>58</v>
      </c>
      <c r="I10" s="1583" t="s">
        <v>76</v>
      </c>
      <c r="J10" s="1584" t="s">
        <v>76</v>
      </c>
      <c r="K10" s="1583" t="s">
        <v>60</v>
      </c>
      <c r="L10" s="1584" t="s">
        <v>60</v>
      </c>
      <c r="M10" s="1581" t="s">
        <v>61</v>
      </c>
      <c r="N10" s="1582" t="s">
        <v>61</v>
      </c>
      <c r="O10" s="1581" t="s">
        <v>62</v>
      </c>
      <c r="P10" s="1582" t="s">
        <v>62</v>
      </c>
      <c r="Q10" s="1583"/>
      <c r="R10" s="1584"/>
      <c r="S10" s="1583"/>
      <c r="T10" s="1584"/>
      <c r="U10" s="1583" t="s">
        <v>66</v>
      </c>
      <c r="V10" s="1584" t="s">
        <v>66</v>
      </c>
      <c r="W10" s="1583" t="s">
        <v>67</v>
      </c>
      <c r="X10" s="1584" t="s">
        <v>67</v>
      </c>
      <c r="Y10" s="1591" t="s">
        <v>80</v>
      </c>
      <c r="Z10" s="1592"/>
      <c r="AA10" s="1592"/>
      <c r="AB10" s="1593"/>
    </row>
    <row r="11" spans="2:29" s="5" customFormat="1" ht="45.75" customHeight="1" x14ac:dyDescent="0.25">
      <c r="B11" s="1588"/>
      <c r="C11" s="136"/>
      <c r="D11" s="1589"/>
      <c r="E11" s="1590"/>
      <c r="F11" s="136"/>
      <c r="G11" s="1585"/>
      <c r="H11" s="1586"/>
      <c r="I11" s="1583"/>
      <c r="J11" s="1584"/>
      <c r="K11" s="1583"/>
      <c r="L11" s="1584"/>
      <c r="M11" s="1581"/>
      <c r="N11" s="1582"/>
      <c r="O11" s="1581"/>
      <c r="P11" s="1582"/>
      <c r="Q11" s="1583"/>
      <c r="R11" s="1584"/>
      <c r="S11" s="1583"/>
      <c r="T11" s="1584"/>
      <c r="U11" s="1583"/>
      <c r="V11" s="1584"/>
      <c r="W11" s="1583"/>
      <c r="X11" s="1584"/>
      <c r="Y11" s="194" t="s">
        <v>68</v>
      </c>
      <c r="Z11" s="195" t="s">
        <v>68</v>
      </c>
      <c r="AA11" s="194" t="s">
        <v>69</v>
      </c>
      <c r="AB11" s="195" t="s">
        <v>69</v>
      </c>
    </row>
    <row r="12" spans="2:29" s="5" customFormat="1" ht="6.75" customHeight="1" x14ac:dyDescent="0.25">
      <c r="B12" s="7"/>
      <c r="C12" s="7"/>
      <c r="D12" s="165"/>
      <c r="E12" s="188"/>
      <c r="F12" s="7"/>
      <c r="G12" s="172"/>
      <c r="H12" s="184"/>
      <c r="I12" s="172"/>
      <c r="J12" s="184"/>
      <c r="K12" s="172"/>
      <c r="L12" s="184"/>
      <c r="M12" s="172"/>
      <c r="N12" s="184"/>
      <c r="O12" s="172"/>
      <c r="P12" s="184"/>
      <c r="Q12" s="172"/>
      <c r="R12" s="184"/>
      <c r="S12" s="172"/>
      <c r="T12" s="184"/>
      <c r="U12" s="172"/>
      <c r="V12" s="184"/>
      <c r="W12" s="174"/>
      <c r="X12" s="177"/>
      <c r="Y12" s="174"/>
      <c r="Z12" s="177"/>
      <c r="AA12" s="174"/>
      <c r="AB12" s="177"/>
    </row>
    <row r="13" spans="2:29" s="31" customFormat="1" ht="24" customHeight="1" x14ac:dyDescent="0.25">
      <c r="B13" s="9" t="s">
        <v>17</v>
      </c>
      <c r="C13" s="10"/>
      <c r="D13" s="166" t="e">
        <f>D15+D19+D27+D29+D34+D36+D38+D40+D42</f>
        <v>#REF!</v>
      </c>
      <c r="E13" s="801">
        <f>+RESUMEN!E10</f>
        <v>0.05</v>
      </c>
      <c r="F13" s="10"/>
      <c r="G13" s="173" t="e">
        <f>G15+G19+G27+G29+G34+G36+G38+G40+G43</f>
        <v>#REF!</v>
      </c>
      <c r="H13" s="11">
        <f>+RESUMEN!H10</f>
        <v>0.05</v>
      </c>
      <c r="I13" s="166">
        <f>I15+I19+I27+I29+I34+I36+I38+I40+I42</f>
        <v>1955.74</v>
      </c>
      <c r="J13" s="11">
        <f>+RESUMEN!K10</f>
        <v>0.04</v>
      </c>
      <c r="K13" s="173" t="e">
        <f>K15+K19+K27+K29+K34+K36+K38+K40+K42</f>
        <v>#REF!</v>
      </c>
      <c r="L13" s="11">
        <f>+RESUMEN!N10</f>
        <v>0.05</v>
      </c>
      <c r="M13" s="166">
        <f>M15+M19+M27+M29+M34+M36+M38+M40+M42</f>
        <v>1630.91</v>
      </c>
      <c r="N13" s="11">
        <f>+RESUMEN!Q10</f>
        <v>0.05</v>
      </c>
      <c r="O13" s="166">
        <f>O15+O19+O27+O29+O34+O36+O38+O40+O42</f>
        <v>3385.19</v>
      </c>
      <c r="P13" s="11">
        <f>+RESUMEN!T10</f>
        <v>0.05</v>
      </c>
      <c r="Q13" s="166">
        <f>Q15+Q19+Q27+Q29+Q34+Q36+Q38+Q40+Q42</f>
        <v>637.77</v>
      </c>
      <c r="R13" s="11">
        <f>+RESUMEN!AC10</f>
        <v>0.04</v>
      </c>
      <c r="S13" s="166">
        <f>S15+S19+S27+S29+S34+S36+S38+S40+S42</f>
        <v>1406.89</v>
      </c>
      <c r="T13" s="11">
        <f>+RESUMEN!AF10</f>
        <v>0.04</v>
      </c>
      <c r="U13" s="173" t="e">
        <f>U15+U19+U27+U29+U34+U36+U38+U40+U42</f>
        <v>#REF!</v>
      </c>
      <c r="V13" s="11" t="e">
        <f>+RESUMEN!#REF!</f>
        <v>#REF!</v>
      </c>
      <c r="W13" s="166">
        <f>W15+W19+W27+W29+W34+W36+W38+W40+W42</f>
        <v>447.34</v>
      </c>
      <c r="X13" s="11">
        <f>+RESUMEN!AI10</f>
        <v>0.05</v>
      </c>
      <c r="Y13" s="166">
        <f>Y15+Y19+Y27+Y29+Y34+Y36+Y38+Y40+Y42</f>
        <v>229.26</v>
      </c>
      <c r="Z13" s="11" t="e">
        <f>+RESUMEN!#REF!</f>
        <v>#REF!</v>
      </c>
      <c r="AA13" s="166">
        <f>AA15+AA19+AA27+AA29+AA34+AA36+AA38+AA40+AA42</f>
        <v>20.100000000000001</v>
      </c>
      <c r="AB13" s="11" t="e">
        <f>+RESUMEN!#REF!</f>
        <v>#REF!</v>
      </c>
    </row>
    <row r="14" spans="2:29" s="5" customFormat="1" ht="6.75" customHeight="1" x14ac:dyDescent="0.25">
      <c r="B14" s="14"/>
      <c r="C14" s="14"/>
      <c r="D14" s="167"/>
      <c r="E14" s="202"/>
      <c r="F14" s="14"/>
      <c r="G14" s="172"/>
      <c r="I14" s="174"/>
      <c r="J14" s="7"/>
      <c r="K14" s="172"/>
      <c r="M14" s="174"/>
      <c r="N14" s="7"/>
      <c r="O14" s="174"/>
      <c r="P14" s="7"/>
      <c r="Q14" s="174"/>
      <c r="R14" s="7"/>
      <c r="S14" s="174"/>
      <c r="T14" s="7"/>
      <c r="U14" s="172"/>
      <c r="W14" s="174"/>
      <c r="X14" s="7"/>
      <c r="Y14" s="174"/>
      <c r="Z14" s="7"/>
      <c r="AA14" s="174"/>
      <c r="AB14" s="7"/>
    </row>
    <row r="15" spans="2:29" s="6" customFormat="1" ht="15.5" x14ac:dyDescent="0.25">
      <c r="B15" s="794" t="s">
        <v>52</v>
      </c>
      <c r="C15" s="587"/>
      <c r="D15" s="135">
        <f>SUM(D16:D17)</f>
        <v>4976.1899999999996</v>
      </c>
      <c r="E15" s="135">
        <f>+RESUMEN!E12</f>
        <v>0.05</v>
      </c>
      <c r="F15" s="587"/>
      <c r="G15" s="135">
        <f t="shared" ref="G15:Q15" si="0">SUM(G16:G17)</f>
        <v>2341.98</v>
      </c>
      <c r="H15" s="135">
        <f>+RESUMEN!H12</f>
        <v>0.05</v>
      </c>
      <c r="I15" s="135">
        <f t="shared" si="0"/>
        <v>466.51</v>
      </c>
      <c r="J15" s="135">
        <v>3.82</v>
      </c>
      <c r="K15" s="135">
        <f t="shared" si="0"/>
        <v>1875.47</v>
      </c>
      <c r="L15" s="135">
        <f>+RESUMEN!N12</f>
        <v>0.05</v>
      </c>
      <c r="M15" s="135">
        <f t="shared" si="0"/>
        <v>672.65</v>
      </c>
      <c r="N15" s="135">
        <v>1.94</v>
      </c>
      <c r="O15" s="135">
        <f t="shared" si="0"/>
        <v>1202.82</v>
      </c>
      <c r="P15" s="135">
        <f>+RESUMEN!T12</f>
        <v>0.05</v>
      </c>
      <c r="Q15" s="135">
        <f t="shared" si="0"/>
        <v>608.11</v>
      </c>
      <c r="R15" s="135">
        <f>R16+R17</f>
        <v>2.08</v>
      </c>
      <c r="S15" s="135">
        <f t="shared" ref="S15:AA15" si="1">SUM(S16:S17)</f>
        <v>1406.89</v>
      </c>
      <c r="T15" s="135">
        <v>0.75</v>
      </c>
      <c r="U15" s="135">
        <f t="shared" si="1"/>
        <v>619.21</v>
      </c>
      <c r="V15" s="135" t="e">
        <f>+RESUMEN!#REF!</f>
        <v>#REF!</v>
      </c>
      <c r="W15" s="135">
        <f t="shared" si="1"/>
        <v>447.34</v>
      </c>
      <c r="X15" s="135">
        <v>0.72</v>
      </c>
      <c r="Y15" s="135">
        <f t="shared" si="1"/>
        <v>156.1</v>
      </c>
      <c r="Z15" s="135">
        <v>1.4</v>
      </c>
      <c r="AA15" s="135">
        <f t="shared" si="1"/>
        <v>15.77</v>
      </c>
      <c r="AB15" s="135">
        <v>1.47</v>
      </c>
    </row>
    <row r="16" spans="2:29" s="142" customFormat="1" ht="15.5" x14ac:dyDescent="0.25">
      <c r="B16" s="783" t="s">
        <v>20</v>
      </c>
      <c r="C16" s="795"/>
      <c r="D16" s="785">
        <f>G16+Q16+S16+U16</f>
        <v>3821.15</v>
      </c>
      <c r="E16" s="583">
        <f>+RESUMEN!E13</f>
        <v>0.04</v>
      </c>
      <c r="F16" s="800"/>
      <c r="G16" s="583">
        <f>I16+K16</f>
        <v>1253.98</v>
      </c>
      <c r="H16" s="583">
        <f>+RESUMEN!H13</f>
        <v>0.04</v>
      </c>
      <c r="I16" s="583">
        <f>168042051.99/1000000</f>
        <v>168.04</v>
      </c>
      <c r="J16" s="583">
        <v>0.63</v>
      </c>
      <c r="K16" s="583">
        <f>M16+O16</f>
        <v>1085.94</v>
      </c>
      <c r="L16" s="583">
        <f>+RESUMEN!N13</f>
        <v>0.05</v>
      </c>
      <c r="M16" s="583">
        <f>357884637.41/1000000</f>
        <v>357.88</v>
      </c>
      <c r="N16" s="583">
        <v>0.99</v>
      </c>
      <c r="O16" s="583">
        <f>728062498.19/1000000</f>
        <v>728.06</v>
      </c>
      <c r="P16" s="583">
        <v>0.95</v>
      </c>
      <c r="Q16" s="583">
        <f>599228023.97/1000000</f>
        <v>599.23</v>
      </c>
      <c r="R16" s="583">
        <v>2.08</v>
      </c>
      <c r="S16" s="583">
        <f>1388497756.61/1000000</f>
        <v>1388.5</v>
      </c>
      <c r="T16" s="583">
        <v>0.75</v>
      </c>
      <c r="U16" s="583">
        <f>W16+Y16+AA16</f>
        <v>579.44000000000005</v>
      </c>
      <c r="V16" s="583" t="e">
        <f>RESUMEN!#REF!</f>
        <v>#REF!</v>
      </c>
      <c r="W16" s="583">
        <f>(350175701.21+3716155.94+17197332.18+75203112.24)/1000000</f>
        <v>446.29</v>
      </c>
      <c r="X16" s="583">
        <v>0.72</v>
      </c>
      <c r="Y16" s="583">
        <f>121791701.36/1000000</f>
        <v>121.79</v>
      </c>
      <c r="Z16" s="583">
        <v>0.88</v>
      </c>
      <c r="AA16" s="583">
        <f>11355644.45/1000000</f>
        <v>11.36</v>
      </c>
      <c r="AB16" s="583">
        <v>0.82</v>
      </c>
    </row>
    <row r="17" spans="2:28" s="142" customFormat="1" ht="15.5" x14ac:dyDescent="0.25">
      <c r="B17" s="783" t="s">
        <v>21</v>
      </c>
      <c r="C17" s="795"/>
      <c r="D17" s="785">
        <f>G17+Q17+S17+U17</f>
        <v>1155.04</v>
      </c>
      <c r="E17" s="583">
        <f>+RESUMEN!E14</f>
        <v>0.05</v>
      </c>
      <c r="F17" s="800"/>
      <c r="G17" s="583">
        <f>I17+K17</f>
        <v>1088</v>
      </c>
      <c r="H17" s="583">
        <f>+RESUMEN!H14</f>
        <v>0.05</v>
      </c>
      <c r="I17" s="583">
        <f>298473417.71/1000000</f>
        <v>298.47000000000003</v>
      </c>
      <c r="J17" s="583">
        <v>4.6500000000000004</v>
      </c>
      <c r="K17" s="583">
        <f>M17+O17</f>
        <v>789.53</v>
      </c>
      <c r="L17" s="583">
        <f>+RESUMEN!N14</f>
        <v>0.05</v>
      </c>
      <c r="M17" s="583">
        <f>314769683.79/1000000</f>
        <v>314.77</v>
      </c>
      <c r="N17" s="583">
        <v>4.1900000000000004</v>
      </c>
      <c r="O17" s="583">
        <f>474756398.15/1000000</f>
        <v>474.76</v>
      </c>
      <c r="P17" s="583">
        <v>4.1100000000000003</v>
      </c>
      <c r="Q17" s="583">
        <f>8883244.87/1000000</f>
        <v>8.8800000000000008</v>
      </c>
      <c r="R17" s="583">
        <v>0</v>
      </c>
      <c r="S17" s="583">
        <f>18387255.13/1000000</f>
        <v>18.39</v>
      </c>
      <c r="T17" s="583">
        <v>0</v>
      </c>
      <c r="U17" s="583">
        <f>W17+Y17+AA17</f>
        <v>39.770000000000003</v>
      </c>
      <c r="V17" s="583" t="e">
        <f>RESUMEN!#REF!</f>
        <v>#REF!</v>
      </c>
      <c r="W17" s="583">
        <f>1054000/1000000</f>
        <v>1.05</v>
      </c>
      <c r="X17" s="583">
        <v>0</v>
      </c>
      <c r="Y17" s="583">
        <f>34309116.32/1000000</f>
        <v>34.31</v>
      </c>
      <c r="Z17" s="583">
        <v>3.68</v>
      </c>
      <c r="AA17" s="583">
        <f>4409441.97/1000000</f>
        <v>4.41</v>
      </c>
      <c r="AB17" s="583">
        <v>3.38</v>
      </c>
    </row>
    <row r="18" spans="2:28" ht="9.75" customHeight="1" x14ac:dyDescent="0.25">
      <c r="B18" s="783"/>
      <c r="D18" s="584"/>
      <c r="E18" s="584"/>
      <c r="G18" s="787"/>
      <c r="H18" s="787"/>
      <c r="I18" s="788"/>
      <c r="J18" s="788"/>
      <c r="K18" s="788"/>
      <c r="L18" s="788"/>
      <c r="M18" s="788"/>
      <c r="N18" s="788"/>
      <c r="O18" s="788"/>
      <c r="P18" s="788"/>
      <c r="Q18" s="788"/>
      <c r="R18" s="788"/>
      <c r="S18" s="788"/>
      <c r="T18" s="788"/>
      <c r="U18" s="788"/>
      <c r="V18" s="788"/>
      <c r="W18" s="788"/>
      <c r="X18" s="788"/>
      <c r="Y18" s="788"/>
      <c r="Z18" s="788"/>
      <c r="AA18" s="788"/>
      <c r="AB18" s="788"/>
    </row>
    <row r="19" spans="2:28" s="6" customFormat="1" ht="20.25" customHeight="1" x14ac:dyDescent="0.25">
      <c r="B19" s="797" t="s">
        <v>22</v>
      </c>
      <c r="C19" s="587"/>
      <c r="D19" s="789">
        <f>SUM(D21:D25)</f>
        <v>4322.6400000000003</v>
      </c>
      <c r="E19" s="789">
        <f>+RESUMEN!E16</f>
        <v>0.05</v>
      </c>
      <c r="F19" s="587"/>
      <c r="G19" s="789">
        <f>SUM(G21:G25)</f>
        <v>4215.49</v>
      </c>
      <c r="H19" s="789">
        <f>+RESUMEN!H16</f>
        <v>0.05</v>
      </c>
      <c r="I19" s="789">
        <f>SUM(I21:I25)</f>
        <v>1206.6300000000001</v>
      </c>
      <c r="J19" s="789">
        <f>+RESUMEN!K16</f>
        <v>0.04</v>
      </c>
      <c r="K19" s="789">
        <f>SUM(K21:K25)</f>
        <v>3008.86</v>
      </c>
      <c r="L19" s="789">
        <f>+RESUMEN!N16</f>
        <v>0.05</v>
      </c>
      <c r="M19" s="789">
        <f>SUM(M21:M25)</f>
        <v>930.92</v>
      </c>
      <c r="N19" s="789">
        <f>+RESUMEN!Q16</f>
        <v>0.05</v>
      </c>
      <c r="O19" s="789">
        <f>SUM(O21:O25)</f>
        <v>2077.94</v>
      </c>
      <c r="P19" s="789">
        <f>+RESUMEN!T16</f>
        <v>0.05</v>
      </c>
      <c r="Q19" s="789">
        <f>SUM(Q21:Q25)</f>
        <v>29.66</v>
      </c>
      <c r="R19" s="789">
        <f>+RESUMEN!AC16</f>
        <v>0.06</v>
      </c>
      <c r="S19" s="789">
        <f>SUM(S21:S25)</f>
        <v>0</v>
      </c>
      <c r="T19" s="789">
        <f>+RESUMEN!AF16</f>
        <v>0</v>
      </c>
      <c r="U19" s="789">
        <f>SUM(U21:U25)</f>
        <v>77.489999999999995</v>
      </c>
      <c r="V19" s="789" t="e">
        <f>+RESUMEN!#REF!</f>
        <v>#REF!</v>
      </c>
      <c r="W19" s="789">
        <f>SUM(W21:W25)</f>
        <v>0</v>
      </c>
      <c r="X19" s="789">
        <v>0</v>
      </c>
      <c r="Y19" s="789">
        <f>SUM(Y21:Y25)</f>
        <v>73.16</v>
      </c>
      <c r="Z19" s="789" t="e">
        <f>+RESUMEN!#REF!</f>
        <v>#REF!</v>
      </c>
      <c r="AA19" s="789">
        <f>SUM(AA21:AA25)</f>
        <v>4.33</v>
      </c>
      <c r="AB19" s="789" t="e">
        <f>+RESUMEN!#REF!</f>
        <v>#REF!</v>
      </c>
    </row>
    <row r="20" spans="2:28" s="6" customFormat="1" ht="20.25" customHeight="1" x14ac:dyDescent="0.25">
      <c r="B20" s="783" t="s">
        <v>29</v>
      </c>
      <c r="C20" s="587"/>
      <c r="D20" s="789"/>
      <c r="E20" s="787">
        <f>RESUMEN!E17</f>
        <v>7.0000000000000007E-2</v>
      </c>
      <c r="F20" s="161"/>
      <c r="G20" s="787"/>
      <c r="H20" s="787">
        <f>RESUMEN!H17</f>
        <v>7.0000000000000007E-2</v>
      </c>
      <c r="I20" s="787"/>
      <c r="J20" s="787">
        <v>0</v>
      </c>
      <c r="K20" s="787"/>
      <c r="L20" s="787">
        <f>RESUMEN!N17</f>
        <v>7.0000000000000007E-2</v>
      </c>
      <c r="M20" s="789"/>
      <c r="N20" s="787">
        <v>2.48</v>
      </c>
      <c r="O20" s="787"/>
      <c r="P20" s="787">
        <v>2.48</v>
      </c>
      <c r="Q20" s="789"/>
      <c r="R20" s="787">
        <v>0</v>
      </c>
      <c r="S20" s="787"/>
      <c r="T20" s="787">
        <v>0</v>
      </c>
      <c r="U20" s="787"/>
      <c r="V20" s="787">
        <v>0</v>
      </c>
      <c r="W20" s="787"/>
      <c r="X20" s="787">
        <v>0</v>
      </c>
      <c r="Y20" s="787"/>
      <c r="Z20" s="787">
        <v>0</v>
      </c>
      <c r="AA20" s="787"/>
      <c r="AB20" s="787">
        <v>0</v>
      </c>
    </row>
    <row r="21" spans="2:28" s="142" customFormat="1" ht="15.5" x14ac:dyDescent="0.25">
      <c r="B21" s="783" t="s">
        <v>24</v>
      </c>
      <c r="C21" s="784"/>
      <c r="D21" s="785">
        <f t="shared" ref="D21:D25" si="2">G21+Q21+S21+U21</f>
        <v>2259.85</v>
      </c>
      <c r="E21" s="583">
        <f>+RESUMEN!E18</f>
        <v>0.04</v>
      </c>
      <c r="F21" s="786"/>
      <c r="G21" s="583">
        <f t="shared" ref="G21:G25" si="3">I21+K21</f>
        <v>2227.61</v>
      </c>
      <c r="H21" s="583">
        <f>+RESUMEN!H18</f>
        <v>0.04</v>
      </c>
      <c r="I21" s="787">
        <f>737089095.08/1000000</f>
        <v>737.09</v>
      </c>
      <c r="J21" s="787">
        <v>4.6900000000000004</v>
      </c>
      <c r="K21" s="583">
        <f t="shared" ref="K21:K25" si="4">M21+O21</f>
        <v>1490.52</v>
      </c>
      <c r="L21" s="787">
        <f>+RESUMEN!N18</f>
        <v>0.04</v>
      </c>
      <c r="M21" s="787">
        <f>454467651.936544/1000000</f>
        <v>454.47</v>
      </c>
      <c r="N21" s="787">
        <v>4.26</v>
      </c>
      <c r="O21" s="787">
        <f>1036050168.88/1000000</f>
        <v>1036.05</v>
      </c>
      <c r="P21" s="787">
        <v>4.16</v>
      </c>
      <c r="Q21" s="787">
        <v>0</v>
      </c>
      <c r="R21" s="787">
        <f>+RESUMEN!AC18</f>
        <v>0</v>
      </c>
      <c r="S21" s="787">
        <v>0</v>
      </c>
      <c r="T21" s="787">
        <f>+RESUMEN!AF18</f>
        <v>0</v>
      </c>
      <c r="U21" s="787">
        <f>W21+Y21+AA21</f>
        <v>32.24</v>
      </c>
      <c r="V21" s="787" t="e">
        <f>+RESUMEN!#REF!</f>
        <v>#REF!</v>
      </c>
      <c r="W21" s="787">
        <v>0</v>
      </c>
      <c r="X21" s="787">
        <f>+RESUMEN!AI18</f>
        <v>0</v>
      </c>
      <c r="Y21" s="787">
        <f>29418651.36/1000000</f>
        <v>29.42</v>
      </c>
      <c r="Z21" s="787">
        <v>4.12</v>
      </c>
      <c r="AA21" s="787">
        <f>2819056.08/1000000</f>
        <v>2.82</v>
      </c>
      <c r="AB21" s="787">
        <v>4.07</v>
      </c>
    </row>
    <row r="22" spans="2:28" s="142" customFormat="1" ht="15.5" x14ac:dyDescent="0.25">
      <c r="B22" s="783" t="s">
        <v>25</v>
      </c>
      <c r="C22" s="784"/>
      <c r="D22" s="785">
        <f t="shared" si="2"/>
        <v>676.2</v>
      </c>
      <c r="E22" s="583">
        <f>+RESUMEN!E19</f>
        <v>0.04</v>
      </c>
      <c r="F22" s="786"/>
      <c r="G22" s="583">
        <f t="shared" si="3"/>
        <v>645.26</v>
      </c>
      <c r="H22" s="583">
        <f>+RESUMEN!H19</f>
        <v>0.04</v>
      </c>
      <c r="I22" s="787">
        <f>120755317.83/1000000</f>
        <v>120.76</v>
      </c>
      <c r="J22" s="787">
        <v>3.02</v>
      </c>
      <c r="K22" s="583">
        <f t="shared" si="4"/>
        <v>524.5</v>
      </c>
      <c r="L22" s="787">
        <f t="shared" ref="L22:L24" si="5">((M22*N22)+(O22*P22))/K22</f>
        <v>2.1800000000000002</v>
      </c>
      <c r="M22" s="787">
        <f>164467089.600515/1000000</f>
        <v>164.47</v>
      </c>
      <c r="N22" s="787">
        <f>+RESUMEN!Q19</f>
        <v>0.04</v>
      </c>
      <c r="O22" s="787">
        <f>360028669.714355/1000000</f>
        <v>360.03</v>
      </c>
      <c r="P22" s="787">
        <v>3.16</v>
      </c>
      <c r="Q22" s="787">
        <v>0</v>
      </c>
      <c r="R22" s="787">
        <f>+RESUMEN!AC19</f>
        <v>0</v>
      </c>
      <c r="S22" s="787">
        <v>0</v>
      </c>
      <c r="T22" s="787">
        <f>+RESUMEN!AF19</f>
        <v>0</v>
      </c>
      <c r="U22" s="787">
        <f t="shared" ref="U22:U25" si="6">W22+Y22+AA22</f>
        <v>30.94</v>
      </c>
      <c r="V22" s="787" t="e">
        <f>+RESUMEN!#REF!</f>
        <v>#REF!</v>
      </c>
      <c r="W22" s="787">
        <v>0</v>
      </c>
      <c r="X22" s="787">
        <f>+RESUMEN!AI19</f>
        <v>0</v>
      </c>
      <c r="Y22" s="787">
        <f>30316062.925415/1000000</f>
        <v>30.32</v>
      </c>
      <c r="Z22" s="787">
        <v>2.96</v>
      </c>
      <c r="AA22" s="787">
        <f>623236.93/1000000</f>
        <v>0.62</v>
      </c>
      <c r="AB22" s="787">
        <v>2.94</v>
      </c>
    </row>
    <row r="23" spans="2:28" s="142" customFormat="1" ht="15.5" x14ac:dyDescent="0.25">
      <c r="B23" s="783" t="s">
        <v>26</v>
      </c>
      <c r="C23" s="784"/>
      <c r="D23" s="785">
        <f t="shared" si="2"/>
        <v>1180.8499999999999</v>
      </c>
      <c r="E23" s="583">
        <f>+RESUMEN!E20</f>
        <v>0.05</v>
      </c>
      <c r="F23" s="786"/>
      <c r="G23" s="583">
        <f t="shared" si="3"/>
        <v>1140.83</v>
      </c>
      <c r="H23" s="583">
        <f>+RESUMEN!H20</f>
        <v>0.05</v>
      </c>
      <c r="I23" s="787">
        <f>336819332.67/1000000</f>
        <v>336.82</v>
      </c>
      <c r="J23" s="787">
        <v>4.5199999999999996</v>
      </c>
      <c r="K23" s="583">
        <f t="shared" si="4"/>
        <v>804.01</v>
      </c>
      <c r="L23" s="787">
        <v>4.68</v>
      </c>
      <c r="M23" s="787">
        <f>268022280.68/1000000</f>
        <v>268.02</v>
      </c>
      <c r="N23" s="787">
        <v>3.87</v>
      </c>
      <c r="O23" s="787">
        <f>535992841.41/1000000</f>
        <v>535.99</v>
      </c>
      <c r="P23" s="787">
        <v>4.5999999999999996</v>
      </c>
      <c r="Q23" s="787">
        <f>29657409.5/1000000</f>
        <v>29.66</v>
      </c>
      <c r="R23" s="787">
        <f>+RESUMEN!AC20</f>
        <v>0.06</v>
      </c>
      <c r="S23" s="787">
        <v>0</v>
      </c>
      <c r="T23" s="787">
        <f>+RESUMEN!AF20</f>
        <v>0</v>
      </c>
      <c r="U23" s="787">
        <f t="shared" si="6"/>
        <v>10.36</v>
      </c>
      <c r="V23" s="787" t="e">
        <f>+RESUMEN!#REF!</f>
        <v>#REF!</v>
      </c>
      <c r="W23" s="787">
        <v>0</v>
      </c>
      <c r="X23" s="787">
        <f>+RESUMEN!AI20</f>
        <v>0</v>
      </c>
      <c r="Y23" s="787">
        <f>9648187.24/1000000</f>
        <v>9.65</v>
      </c>
      <c r="Z23" s="787">
        <v>4.51</v>
      </c>
      <c r="AA23" s="787">
        <f>714213.12/1000000</f>
        <v>0.71</v>
      </c>
      <c r="AB23" s="787">
        <v>4.55</v>
      </c>
    </row>
    <row r="24" spans="2:28" s="142" customFormat="1" ht="15.5" x14ac:dyDescent="0.25">
      <c r="B24" s="783" t="s">
        <v>28</v>
      </c>
      <c r="C24" s="784"/>
      <c r="D24" s="785">
        <f t="shared" si="2"/>
        <v>205.74</v>
      </c>
      <c r="E24" s="583">
        <f>+RESUMEN!E21</f>
        <v>0.03</v>
      </c>
      <c r="F24" s="786"/>
      <c r="G24" s="583">
        <f t="shared" si="3"/>
        <v>201.79</v>
      </c>
      <c r="H24" s="583">
        <f>+RESUMEN!H21</f>
        <v>0.03</v>
      </c>
      <c r="I24" s="787">
        <f>11955245.92/1000000</f>
        <v>11.96</v>
      </c>
      <c r="J24" s="787">
        <f>+RESUMEN!K21</f>
        <v>0.03</v>
      </c>
      <c r="K24" s="583">
        <f t="shared" si="4"/>
        <v>189.83</v>
      </c>
      <c r="L24" s="787">
        <f t="shared" si="5"/>
        <v>0.03</v>
      </c>
      <c r="M24" s="787">
        <f>43962855.69/1000000</f>
        <v>43.96</v>
      </c>
      <c r="N24" s="787">
        <f>+RESUMEN!Q21</f>
        <v>0.03</v>
      </c>
      <c r="O24" s="787">
        <f>145874620.3/1000000</f>
        <v>145.87</v>
      </c>
      <c r="P24" s="787">
        <f>+RESUMEN!T21</f>
        <v>0.03</v>
      </c>
      <c r="Q24" s="787">
        <v>0</v>
      </c>
      <c r="R24" s="787">
        <f>+RESUMEN!AC21</f>
        <v>0</v>
      </c>
      <c r="S24" s="787">
        <v>0</v>
      </c>
      <c r="T24" s="787">
        <f>+RESUMEN!AF21</f>
        <v>0</v>
      </c>
      <c r="U24" s="787">
        <f t="shared" si="6"/>
        <v>3.95</v>
      </c>
      <c r="V24" s="787" t="e">
        <f>+RESUMEN!#REF!</f>
        <v>#REF!</v>
      </c>
      <c r="W24" s="787">
        <v>0</v>
      </c>
      <c r="X24" s="787">
        <f>+RESUMEN!AI21</f>
        <v>0</v>
      </c>
      <c r="Y24" s="787">
        <f>3767877.24/1000000</f>
        <v>3.77</v>
      </c>
      <c r="Z24" s="787" t="e">
        <f>+RESUMEN!#REF!</f>
        <v>#REF!</v>
      </c>
      <c r="AA24" s="787">
        <f>175400.85/1000000</f>
        <v>0.18</v>
      </c>
      <c r="AB24" s="787" t="e">
        <f>+RESUMEN!#REF!</f>
        <v>#REF!</v>
      </c>
    </row>
    <row r="25" spans="2:28" s="142" customFormat="1" ht="15.5" x14ac:dyDescent="0.25">
      <c r="B25" s="783" t="s">
        <v>85</v>
      </c>
      <c r="C25" s="784"/>
      <c r="D25" s="785">
        <f t="shared" si="2"/>
        <v>0</v>
      </c>
      <c r="E25" s="583">
        <f>+RESUMEN!E22</f>
        <v>0.04</v>
      </c>
      <c r="F25" s="786"/>
      <c r="G25" s="583">
        <f t="shared" si="3"/>
        <v>0</v>
      </c>
      <c r="H25" s="583">
        <f>+RESUMEN!H22</f>
        <v>0.04</v>
      </c>
      <c r="I25" s="787">
        <v>0</v>
      </c>
      <c r="J25" s="787">
        <f>+RESUMEN!K22</f>
        <v>0</v>
      </c>
      <c r="K25" s="583">
        <f t="shared" si="4"/>
        <v>0</v>
      </c>
      <c r="L25" s="787">
        <f>+RESUMEN!N22</f>
        <v>0.04</v>
      </c>
      <c r="M25" s="787">
        <v>0</v>
      </c>
      <c r="N25" s="787">
        <f>+RESUMEN!Q22</f>
        <v>0.04</v>
      </c>
      <c r="O25" s="787">
        <v>0</v>
      </c>
      <c r="P25" s="787">
        <f>+RESUMEN!T22</f>
        <v>0.04</v>
      </c>
      <c r="Q25" s="787">
        <v>0</v>
      </c>
      <c r="R25" s="787">
        <f>+RESUMEN!AC22</f>
        <v>0</v>
      </c>
      <c r="S25" s="787">
        <v>0</v>
      </c>
      <c r="T25" s="787">
        <f>+RESUMEN!AF22</f>
        <v>0</v>
      </c>
      <c r="U25" s="787">
        <f t="shared" si="6"/>
        <v>0</v>
      </c>
      <c r="V25" s="787" t="e">
        <f>+RESUMEN!#REF!</f>
        <v>#REF!</v>
      </c>
      <c r="W25" s="787">
        <v>0</v>
      </c>
      <c r="X25" s="787">
        <f>+RESUMEN!AI22</f>
        <v>0</v>
      </c>
      <c r="Y25" s="787">
        <v>0</v>
      </c>
      <c r="Z25" s="787" t="e">
        <f>+RESUMEN!#REF!</f>
        <v>#REF!</v>
      </c>
      <c r="AA25" s="787">
        <v>0</v>
      </c>
      <c r="AB25" s="787" t="e">
        <f>+RESUMEN!#REF!</f>
        <v>#REF!</v>
      </c>
    </row>
    <row r="26" spans="2:28" s="142" customFormat="1" ht="12.75" customHeight="1" x14ac:dyDescent="0.25">
      <c r="B26" s="783"/>
      <c r="C26" s="784"/>
      <c r="D26" s="790"/>
      <c r="E26" s="584"/>
      <c r="F26" s="784"/>
      <c r="G26" s="585"/>
      <c r="H26" s="585"/>
      <c r="I26" s="585"/>
      <c r="J26" s="585"/>
      <c r="K26" s="585"/>
      <c r="L26" s="585"/>
      <c r="M26" s="585"/>
      <c r="N26" s="585"/>
      <c r="O26" s="585"/>
      <c r="P26" s="585"/>
      <c r="Q26" s="585"/>
      <c r="R26" s="585"/>
      <c r="S26" s="585"/>
      <c r="T26" s="585"/>
      <c r="U26" s="585"/>
      <c r="V26" s="585"/>
      <c r="W26" s="585"/>
      <c r="X26" s="585"/>
      <c r="Y26" s="585"/>
      <c r="Z26" s="585"/>
      <c r="AA26" s="585"/>
      <c r="AB26" s="585"/>
    </row>
    <row r="27" spans="2:28" s="142" customFormat="1" ht="16" customHeight="1" x14ac:dyDescent="0.25">
      <c r="B27" s="797" t="s">
        <v>30</v>
      </c>
      <c r="C27" s="784"/>
      <c r="D27" s="584" t="e">
        <f>G27+Q27+S27+U27</f>
        <v>#REF!</v>
      </c>
      <c r="E27" s="586">
        <f>+RESUMEN!E24</f>
        <v>0.05</v>
      </c>
      <c r="F27" s="587"/>
      <c r="G27" s="586">
        <f>I27+K27</f>
        <v>311.14999999999998</v>
      </c>
      <c r="H27" s="586">
        <f>+RESUMEN!H24</f>
        <v>0.05</v>
      </c>
      <c r="I27" s="584">
        <f>(31995800.65+87382033.69+25000000+25000000+10000000)/1000000</f>
        <v>179.38</v>
      </c>
      <c r="J27" s="584">
        <v>5.33</v>
      </c>
      <c r="K27" s="586">
        <f>M27+O27</f>
        <v>131.77000000000001</v>
      </c>
      <c r="L27" s="586">
        <f>((M27*N27)+(O27*P27))/K27</f>
        <v>5.41</v>
      </c>
      <c r="M27" s="584">
        <f>(8004199.35+9339373.3+10000000)/1000000</f>
        <v>27.34</v>
      </c>
      <c r="N27" s="584">
        <v>5.65</v>
      </c>
      <c r="O27" s="584">
        <f>(73281593.01+20000000+11150000)/1000000</f>
        <v>104.43</v>
      </c>
      <c r="P27" s="584">
        <v>5.35</v>
      </c>
      <c r="Q27" s="584">
        <v>0</v>
      </c>
      <c r="R27" s="584">
        <f>+RESUMEN!AC24</f>
        <v>0</v>
      </c>
      <c r="S27" s="584">
        <v>0</v>
      </c>
      <c r="T27" s="584">
        <f>+RESUMEN!AF24</f>
        <v>0.06</v>
      </c>
      <c r="U27" s="584" t="e">
        <f>SUM(W27:AA27)</f>
        <v>#REF!</v>
      </c>
      <c r="V27" s="584" t="e">
        <f>SUM(Y27:AB27)</f>
        <v>#REF!</v>
      </c>
      <c r="W27" s="584">
        <v>0</v>
      </c>
      <c r="X27" s="584">
        <f>+RESUMEN!AI24</f>
        <v>0.06</v>
      </c>
      <c r="Y27" s="584">
        <v>0</v>
      </c>
      <c r="Z27" s="584" t="e">
        <f>+RESUMEN!#REF!</f>
        <v>#REF!</v>
      </c>
      <c r="AA27" s="584">
        <v>0</v>
      </c>
      <c r="AB27" s="584" t="e">
        <f>+RESUMEN!#REF!</f>
        <v>#REF!</v>
      </c>
    </row>
    <row r="28" spans="2:28" ht="16" customHeight="1" x14ac:dyDescent="0.25">
      <c r="B28" s="783"/>
      <c r="D28" s="790"/>
      <c r="E28" s="584"/>
      <c r="F28" s="784"/>
      <c r="G28" s="585"/>
      <c r="H28" s="585"/>
      <c r="I28" s="585"/>
      <c r="J28" s="585"/>
      <c r="K28" s="585"/>
      <c r="L28" s="585"/>
      <c r="M28" s="585"/>
      <c r="N28" s="585"/>
      <c r="O28" s="585"/>
      <c r="P28" s="585"/>
      <c r="Q28" s="585"/>
      <c r="R28" s="585"/>
      <c r="S28" s="585"/>
      <c r="T28" s="585"/>
      <c r="U28" s="585"/>
      <c r="V28" s="585"/>
      <c r="W28" s="585"/>
      <c r="X28" s="585"/>
      <c r="Y28" s="585"/>
      <c r="Z28" s="585"/>
      <c r="AA28" s="585"/>
      <c r="AB28" s="585"/>
    </row>
    <row r="29" spans="2:28" s="6" customFormat="1" ht="16" customHeight="1" x14ac:dyDescent="0.25">
      <c r="B29" s="797" t="s">
        <v>53</v>
      </c>
      <c r="D29" s="787" t="e">
        <f>G29+Q29+S29+U29</f>
        <v>#REF!</v>
      </c>
      <c r="E29" s="586">
        <f>+RESUMEN!E26</f>
        <v>0.06</v>
      </c>
      <c r="F29" s="161"/>
      <c r="G29" s="583">
        <f>I29+K29</f>
        <v>0.05</v>
      </c>
      <c r="H29" s="583">
        <f>+RESUMEN!H26</f>
        <v>0.05</v>
      </c>
      <c r="I29" s="787">
        <v>0</v>
      </c>
      <c r="J29" s="787">
        <f>+RESUMEN!K26</f>
        <v>0</v>
      </c>
      <c r="K29" s="787">
        <f>SUM(M29:O29)</f>
        <v>0.05</v>
      </c>
      <c r="L29" s="584">
        <v>3.85</v>
      </c>
      <c r="M29" s="787">
        <v>0</v>
      </c>
      <c r="N29" s="787">
        <f>+RESUMEN!Q26</f>
        <v>0.05</v>
      </c>
      <c r="O29" s="787">
        <v>0</v>
      </c>
      <c r="P29" s="787">
        <f>+RESUMEN!T26</f>
        <v>0.06</v>
      </c>
      <c r="Q29" s="787">
        <v>0</v>
      </c>
      <c r="R29" s="787">
        <f>+RESUMEN!AC26</f>
        <v>0</v>
      </c>
      <c r="S29" s="787">
        <v>0</v>
      </c>
      <c r="T29" s="787">
        <f>+RESUMEN!AF26</f>
        <v>0.06</v>
      </c>
      <c r="U29" s="787" t="e">
        <f>SUM(W29:AA29)</f>
        <v>#REF!</v>
      </c>
      <c r="V29" s="787" t="e">
        <f>SUM(Y29:AB29)</f>
        <v>#REF!</v>
      </c>
      <c r="W29" s="787">
        <v>0</v>
      </c>
      <c r="X29" s="787">
        <f>+RESUMEN!AI26</f>
        <v>0</v>
      </c>
      <c r="Y29" s="787">
        <v>0</v>
      </c>
      <c r="Z29" s="787" t="e">
        <f>+RESUMEN!#REF!</f>
        <v>#REF!</v>
      </c>
      <c r="AA29" s="787">
        <v>0</v>
      </c>
      <c r="AB29" s="787" t="e">
        <f>+RESUMEN!#REF!</f>
        <v>#REF!</v>
      </c>
    </row>
    <row r="30" spans="2:28" s="6" customFormat="1" ht="16" customHeight="1" x14ac:dyDescent="0.25">
      <c r="B30" s="783" t="s">
        <v>87</v>
      </c>
      <c r="D30" s="787"/>
      <c r="E30" s="586">
        <f>+RESUMEN!E27</f>
        <v>0.06</v>
      </c>
      <c r="F30" s="161"/>
      <c r="G30" s="583"/>
      <c r="H30" s="583">
        <f>+RESUMEN!H27</f>
        <v>0</v>
      </c>
      <c r="I30" s="787"/>
      <c r="J30" s="787">
        <f>+RESUMEN!K27</f>
        <v>0</v>
      </c>
      <c r="K30" s="787"/>
      <c r="L30" s="787">
        <v>0</v>
      </c>
      <c r="M30" s="787"/>
      <c r="N30" s="787">
        <f>+RESUMEN!Q27</f>
        <v>0</v>
      </c>
      <c r="O30" s="787"/>
      <c r="P30" s="787">
        <f>+RESUMEN!T27</f>
        <v>0</v>
      </c>
      <c r="Q30" s="787"/>
      <c r="R30" s="787">
        <f>+RESUMEN!AC27</f>
        <v>0</v>
      </c>
      <c r="S30" s="787"/>
      <c r="T30" s="787">
        <f>+RESUMEN!AF27</f>
        <v>0.06</v>
      </c>
      <c r="U30" s="787"/>
      <c r="V30" s="787" t="e">
        <f t="shared" ref="V30:V32" si="7">SUM(Y30:AB30)</f>
        <v>#REF!</v>
      </c>
      <c r="W30" s="787"/>
      <c r="X30" s="787">
        <f>+RESUMEN!AI27</f>
        <v>0</v>
      </c>
      <c r="Y30" s="787"/>
      <c r="Z30" s="787" t="e">
        <f>+RESUMEN!#REF!</f>
        <v>#REF!</v>
      </c>
      <c r="AA30" s="787"/>
      <c r="AB30" s="787" t="e">
        <f>+RESUMEN!#REF!</f>
        <v>#REF!</v>
      </c>
    </row>
    <row r="31" spans="2:28" s="6" customFormat="1" ht="16" customHeight="1" x14ac:dyDescent="0.25">
      <c r="B31" s="783" t="s">
        <v>88</v>
      </c>
      <c r="D31" s="787"/>
      <c r="E31" s="583">
        <f>+RESUMEN!E28</f>
        <v>0.04</v>
      </c>
      <c r="F31" s="161"/>
      <c r="G31" s="583"/>
      <c r="H31" s="583">
        <f>+RESUMEN!H28</f>
        <v>0.04</v>
      </c>
      <c r="I31" s="787"/>
      <c r="J31" s="787">
        <f>+RESUMEN!K28</f>
        <v>0</v>
      </c>
      <c r="K31" s="787"/>
      <c r="L31" s="787">
        <v>3.85</v>
      </c>
      <c r="M31" s="787"/>
      <c r="N31" s="787">
        <f>+RESUMEN!Q28</f>
        <v>0.04</v>
      </c>
      <c r="O31" s="787"/>
      <c r="P31" s="787">
        <f>+RESUMEN!T28</f>
        <v>0.05</v>
      </c>
      <c r="Q31" s="787"/>
      <c r="R31" s="787">
        <f>+RESUMEN!AC28</f>
        <v>0</v>
      </c>
      <c r="S31" s="787"/>
      <c r="T31" s="787">
        <f>+RESUMEN!AF28</f>
        <v>0</v>
      </c>
      <c r="U31" s="787"/>
      <c r="V31" s="787" t="e">
        <f t="shared" si="7"/>
        <v>#REF!</v>
      </c>
      <c r="W31" s="787"/>
      <c r="X31" s="787">
        <f>+RESUMEN!AI28</f>
        <v>0</v>
      </c>
      <c r="Y31" s="787"/>
      <c r="Z31" s="787" t="e">
        <f>+RESUMEN!#REF!</f>
        <v>#REF!</v>
      </c>
      <c r="AA31" s="787"/>
      <c r="AB31" s="787" t="e">
        <f>+RESUMEN!#REF!</f>
        <v>#REF!</v>
      </c>
    </row>
    <row r="32" spans="2:28" s="6" customFormat="1" ht="16" customHeight="1" x14ac:dyDescent="0.25">
      <c r="B32" s="783" t="s">
        <v>89</v>
      </c>
      <c r="D32" s="787"/>
      <c r="E32" s="586">
        <f>+RESUMEN!E31</f>
        <v>0.06</v>
      </c>
      <c r="F32" s="161"/>
      <c r="G32" s="583"/>
      <c r="H32" s="583">
        <f>+RESUMEN!H31</f>
        <v>0.06</v>
      </c>
      <c r="I32" s="787"/>
      <c r="J32" s="787">
        <f>+RESUMEN!K31</f>
        <v>0</v>
      </c>
      <c r="K32" s="787"/>
      <c r="L32" s="787">
        <v>0</v>
      </c>
      <c r="M32" s="787"/>
      <c r="N32" s="787">
        <f>+RESUMEN!Q31</f>
        <v>0.06</v>
      </c>
      <c r="O32" s="787"/>
      <c r="P32" s="787">
        <f>+RESUMEN!T31</f>
        <v>0.06</v>
      </c>
      <c r="Q32" s="787"/>
      <c r="R32" s="787">
        <f>+RESUMEN!AC31</f>
        <v>0</v>
      </c>
      <c r="S32" s="787"/>
      <c r="T32" s="787">
        <f>+RESUMEN!AF31</f>
        <v>0</v>
      </c>
      <c r="U32" s="787"/>
      <c r="V32" s="787" t="e">
        <f t="shared" si="7"/>
        <v>#REF!</v>
      </c>
      <c r="W32" s="787"/>
      <c r="X32" s="787">
        <f>+RESUMEN!AI31</f>
        <v>0</v>
      </c>
      <c r="Y32" s="787"/>
      <c r="Z32" s="787" t="e">
        <f>+RESUMEN!#REF!</f>
        <v>#REF!</v>
      </c>
      <c r="AA32" s="787"/>
      <c r="AB32" s="787" t="e">
        <f>+RESUMEN!#REF!</f>
        <v>#REF!</v>
      </c>
    </row>
    <row r="33" spans="2:28" s="6" customFormat="1" ht="16" customHeight="1" x14ac:dyDescent="0.25">
      <c r="B33" s="797"/>
      <c r="D33" s="787"/>
      <c r="E33" s="787"/>
      <c r="F33" s="161"/>
      <c r="G33" s="787"/>
      <c r="H33" s="787"/>
      <c r="I33" s="585"/>
      <c r="J33" s="585"/>
      <c r="K33" s="787"/>
      <c r="L33" s="787"/>
      <c r="M33" s="585"/>
      <c r="N33" s="585"/>
      <c r="O33" s="585"/>
      <c r="P33" s="585"/>
      <c r="Q33" s="585"/>
      <c r="R33" s="585"/>
      <c r="S33" s="585"/>
      <c r="T33" s="585"/>
      <c r="U33" s="585"/>
      <c r="V33" s="585"/>
      <c r="W33" s="585"/>
      <c r="X33" s="585"/>
      <c r="Y33" s="585"/>
      <c r="Z33" s="585"/>
      <c r="AA33" s="585"/>
      <c r="AB33" s="585"/>
    </row>
    <row r="34" spans="2:28" s="6" customFormat="1" ht="16" customHeight="1" x14ac:dyDescent="0.25">
      <c r="B34" s="144" t="s">
        <v>54</v>
      </c>
      <c r="C34" s="147"/>
      <c r="D34" s="169" t="e">
        <f>G34+Q34+S34+U34</f>
        <v>#REF!</v>
      </c>
      <c r="E34" s="201">
        <f>+RESUMEN!E33</f>
        <v>0.04</v>
      </c>
      <c r="F34" s="156"/>
      <c r="G34" s="198">
        <f>I34+K34</f>
        <v>0.04</v>
      </c>
      <c r="H34" s="198">
        <f>+RESUMEN!H33</f>
        <v>0.04</v>
      </c>
      <c r="I34" s="155">
        <v>0</v>
      </c>
      <c r="J34" s="155">
        <f>+RESUMEN!K33</f>
        <v>0</v>
      </c>
      <c r="K34" s="157">
        <f>SUM(M34:O34)</f>
        <v>0.04</v>
      </c>
      <c r="L34" s="157">
        <v>0</v>
      </c>
      <c r="M34" s="155">
        <v>0</v>
      </c>
      <c r="N34" s="155">
        <f>+RESUMEN!Q33</f>
        <v>0.04</v>
      </c>
      <c r="O34" s="155">
        <v>0</v>
      </c>
      <c r="P34" s="155">
        <f>+RESUMEN!T33</f>
        <v>0.04</v>
      </c>
      <c r="Q34" s="155">
        <v>0</v>
      </c>
      <c r="R34" s="155">
        <f>+RESUMEN!AC33</f>
        <v>0</v>
      </c>
      <c r="S34" s="155">
        <v>0</v>
      </c>
      <c r="T34" s="155">
        <f>+RESUMEN!AF33</f>
        <v>0</v>
      </c>
      <c r="U34" s="155" t="e">
        <f>SUM(W34:AA34)</f>
        <v>#REF!</v>
      </c>
      <c r="V34" s="155" t="e">
        <f>SUM(Y34:AB34)</f>
        <v>#REF!</v>
      </c>
      <c r="W34" s="155">
        <v>0</v>
      </c>
      <c r="X34" s="155">
        <f>+RESUMEN!AI33</f>
        <v>0</v>
      </c>
      <c r="Y34" s="155">
        <v>0</v>
      </c>
      <c r="Z34" s="155" t="e">
        <f>+RESUMEN!#REF!</f>
        <v>#REF!</v>
      </c>
      <c r="AA34" s="155">
        <v>0</v>
      </c>
      <c r="AB34" s="155" t="e">
        <f>+RESUMEN!#REF!</f>
        <v>#REF!</v>
      </c>
    </row>
    <row r="35" spans="2:28" s="142" customFormat="1" ht="16" customHeight="1" x14ac:dyDescent="0.25">
      <c r="B35" s="141"/>
      <c r="C35" s="148"/>
      <c r="D35" s="168"/>
      <c r="E35" s="143"/>
      <c r="F35" s="148"/>
      <c r="G35" s="157"/>
      <c r="H35" s="157"/>
      <c r="I35" s="145"/>
      <c r="J35" s="145"/>
      <c r="K35" s="196"/>
      <c r="L35" s="196"/>
      <c r="M35" s="145"/>
      <c r="N35" s="145"/>
      <c r="O35" s="145"/>
      <c r="P35" s="145"/>
      <c r="Q35" s="145"/>
      <c r="R35" s="145"/>
      <c r="S35" s="145"/>
      <c r="T35" s="145"/>
      <c r="U35" s="145"/>
      <c r="V35" s="145"/>
      <c r="W35" s="145"/>
      <c r="X35" s="145"/>
      <c r="Y35" s="145"/>
      <c r="Z35" s="145"/>
      <c r="AA35" s="145"/>
      <c r="AB35" s="145"/>
    </row>
    <row r="36" spans="2:28" s="6" customFormat="1" ht="16" customHeight="1" x14ac:dyDescent="0.25">
      <c r="B36" s="144" t="s">
        <v>32</v>
      </c>
      <c r="C36" s="147"/>
      <c r="D36" s="168" t="e">
        <f>G36+Q36+S36+U36</f>
        <v>#REF!</v>
      </c>
      <c r="E36" s="201" t="e">
        <f>+RESUMEN!#REF!</f>
        <v>#REF!</v>
      </c>
      <c r="F36" s="156"/>
      <c r="G36" s="197" t="e">
        <f>I36+K36</f>
        <v>#REF!</v>
      </c>
      <c r="H36" s="197" t="e">
        <f>+RESUMEN!#REF!</f>
        <v>#REF!</v>
      </c>
      <c r="I36" s="146">
        <f>30503637.08/1000000</f>
        <v>30.5</v>
      </c>
      <c r="J36" s="198" t="e">
        <f>+RESUMEN!#REF!</f>
        <v>#REF!</v>
      </c>
      <c r="K36" s="157" t="e">
        <f>SUM(M36:O36)</f>
        <v>#REF!</v>
      </c>
      <c r="L36" s="157">
        <v>0</v>
      </c>
      <c r="M36" s="155">
        <v>0</v>
      </c>
      <c r="N36" s="155" t="e">
        <f>+RESUMEN!#REF!</f>
        <v>#REF!</v>
      </c>
      <c r="O36" s="155">
        <v>0</v>
      </c>
      <c r="P36" s="146" t="e">
        <f>+RESUMEN!#REF!</f>
        <v>#REF!</v>
      </c>
      <c r="Q36" s="155">
        <v>0</v>
      </c>
      <c r="R36" s="155" t="e">
        <f>+RESUMEN!#REF!</f>
        <v>#REF!</v>
      </c>
      <c r="S36" s="155">
        <v>0</v>
      </c>
      <c r="T36" s="155" t="e">
        <f>+RESUMEN!#REF!</f>
        <v>#REF!</v>
      </c>
      <c r="U36" s="155" t="e">
        <f>SUM(W36:AA36)</f>
        <v>#REF!</v>
      </c>
      <c r="V36" s="155" t="e">
        <f>SUM(Y36:AB36)</f>
        <v>#REF!</v>
      </c>
      <c r="W36" s="155">
        <v>0</v>
      </c>
      <c r="X36" s="155" t="e">
        <f>+RESUMEN!#REF!</f>
        <v>#REF!</v>
      </c>
      <c r="Y36" s="155">
        <v>0</v>
      </c>
      <c r="Z36" s="155" t="e">
        <f>+RESUMEN!#REF!</f>
        <v>#REF!</v>
      </c>
      <c r="AA36" s="155">
        <v>0</v>
      </c>
      <c r="AB36" s="155" t="e">
        <f>+RESUMEN!#REF!</f>
        <v>#REF!</v>
      </c>
    </row>
    <row r="37" spans="2:28" s="142" customFormat="1" ht="16" customHeight="1" x14ac:dyDescent="0.25">
      <c r="B37" s="141"/>
      <c r="C37" s="148"/>
      <c r="D37" s="168"/>
      <c r="E37" s="143"/>
      <c r="F37" s="148"/>
      <c r="G37" s="157"/>
      <c r="H37" s="157"/>
      <c r="I37" s="145"/>
      <c r="J37" s="145"/>
      <c r="K37" s="199"/>
      <c r="L37" s="199"/>
      <c r="M37" s="145"/>
      <c r="N37" s="145"/>
      <c r="O37" s="145"/>
      <c r="P37" s="145"/>
      <c r="Q37" s="145"/>
      <c r="R37" s="145"/>
      <c r="S37" s="145"/>
      <c r="T37" s="145"/>
      <c r="U37" s="145"/>
      <c r="V37" s="145"/>
      <c r="W37" s="145"/>
      <c r="X37" s="145"/>
      <c r="Y37" s="145"/>
      <c r="Z37" s="145"/>
      <c r="AA37" s="145"/>
      <c r="AB37" s="145"/>
    </row>
    <row r="38" spans="2:28" s="6" customFormat="1" ht="16" customHeight="1" x14ac:dyDescent="0.25">
      <c r="B38" s="144" t="s">
        <v>33</v>
      </c>
      <c r="C38" s="147"/>
      <c r="D38" s="170" t="e">
        <f>G38+Q38+S38+U38</f>
        <v>#REF!</v>
      </c>
      <c r="E38" s="201" t="e">
        <f>+RESUMEN!#REF!</f>
        <v>#REF!</v>
      </c>
      <c r="F38" s="156"/>
      <c r="G38" s="198" t="e">
        <f>I38+K38</f>
        <v>#REF!</v>
      </c>
      <c r="H38" s="198" t="e">
        <f>+RESUMEN!#REF!</f>
        <v>#REF!</v>
      </c>
      <c r="I38" s="155">
        <v>0</v>
      </c>
      <c r="J38" s="155" t="e">
        <f>+RESUMEN!#REF!</f>
        <v>#REF!</v>
      </c>
      <c r="K38" s="157" t="e">
        <f>SUM(M38:O38)</f>
        <v>#REF!</v>
      </c>
      <c r="L38" s="157">
        <v>0</v>
      </c>
      <c r="M38" s="155">
        <v>0</v>
      </c>
      <c r="N38" s="155" t="e">
        <f>+RESUMEN!#REF!</f>
        <v>#REF!</v>
      </c>
      <c r="O38" s="155">
        <v>0</v>
      </c>
      <c r="P38" s="155" t="e">
        <f>+RESUMEN!#REF!</f>
        <v>#REF!</v>
      </c>
      <c r="Q38" s="155">
        <v>0</v>
      </c>
      <c r="R38" s="155" t="e">
        <f>+RESUMEN!#REF!</f>
        <v>#REF!</v>
      </c>
      <c r="S38" s="155">
        <v>0</v>
      </c>
      <c r="T38" s="155" t="e">
        <f>+RESUMEN!#REF!</f>
        <v>#REF!</v>
      </c>
      <c r="U38" s="155" t="e">
        <f>SUM(W38:AA38)</f>
        <v>#REF!</v>
      </c>
      <c r="V38" s="155" t="e">
        <f>SUM(Y38:AB38)</f>
        <v>#REF!</v>
      </c>
      <c r="W38" s="155">
        <v>0</v>
      </c>
      <c r="X38" s="155" t="e">
        <f>+RESUMEN!#REF!</f>
        <v>#REF!</v>
      </c>
      <c r="Y38" s="155">
        <v>0</v>
      </c>
      <c r="Z38" s="155" t="e">
        <f>+RESUMEN!#REF!</f>
        <v>#REF!</v>
      </c>
      <c r="AA38" s="155">
        <v>0</v>
      </c>
      <c r="AB38" s="155" t="e">
        <f>+RESUMEN!#REF!</f>
        <v>#REF!</v>
      </c>
    </row>
    <row r="39" spans="2:28" s="6" customFormat="1" ht="16" customHeight="1" x14ac:dyDescent="0.25">
      <c r="B39" s="144"/>
      <c r="C39" s="147"/>
      <c r="D39" s="168"/>
      <c r="E39" s="143"/>
      <c r="F39" s="156"/>
      <c r="G39" s="157"/>
      <c r="H39" s="157"/>
      <c r="I39" s="155"/>
      <c r="J39" s="155"/>
      <c r="K39" s="200"/>
      <c r="L39" s="200"/>
      <c r="M39" s="155"/>
      <c r="N39" s="155"/>
      <c r="O39" s="155"/>
      <c r="P39" s="155"/>
      <c r="Q39" s="155"/>
      <c r="R39" s="155"/>
      <c r="S39" s="155"/>
      <c r="T39" s="155"/>
      <c r="U39" s="155"/>
      <c r="V39" s="155"/>
      <c r="W39" s="155"/>
      <c r="X39" s="155"/>
      <c r="Y39" s="155"/>
      <c r="Z39" s="155"/>
      <c r="AA39" s="155"/>
      <c r="AB39" s="155"/>
    </row>
    <row r="40" spans="2:28" s="6" customFormat="1" ht="16" customHeight="1" x14ac:dyDescent="0.25">
      <c r="B40" s="144" t="s">
        <v>34</v>
      </c>
      <c r="C40" s="147"/>
      <c r="D40" s="168" t="e">
        <f>G40+Q40+S40+U40</f>
        <v>#REF!</v>
      </c>
      <c r="E40" s="201" t="e">
        <f>+RESUMEN!#REF!</f>
        <v>#REF!</v>
      </c>
      <c r="F40" s="156"/>
      <c r="G40" s="197" t="e">
        <f>I40+K40</f>
        <v>#REF!</v>
      </c>
      <c r="H40" s="197" t="e">
        <f>+RESUMEN!#REF!</f>
        <v>#REF!</v>
      </c>
      <c r="I40" s="146">
        <f>40554856.5/1000000</f>
        <v>40.549999999999997</v>
      </c>
      <c r="J40" s="198" t="e">
        <f>+RESUMEN!#REF!</f>
        <v>#REF!</v>
      </c>
      <c r="K40" s="157" t="e">
        <f>SUM(M40:O40)</f>
        <v>#REF!</v>
      </c>
      <c r="L40" s="157">
        <v>0</v>
      </c>
      <c r="M40" s="155">
        <v>0</v>
      </c>
      <c r="N40" s="155" t="e">
        <f>+RESUMEN!#REF!</f>
        <v>#REF!</v>
      </c>
      <c r="O40" s="155">
        <v>0</v>
      </c>
      <c r="P40" s="146" t="e">
        <f>+RESUMEN!#REF!</f>
        <v>#REF!</v>
      </c>
      <c r="Q40" s="155">
        <v>0</v>
      </c>
      <c r="R40" s="155" t="e">
        <f>+RESUMEN!#REF!</f>
        <v>#REF!</v>
      </c>
      <c r="S40" s="155">
        <v>0</v>
      </c>
      <c r="T40" s="155" t="e">
        <f>+RESUMEN!#REF!</f>
        <v>#REF!</v>
      </c>
      <c r="U40" s="155" t="e">
        <f>SUM(W40:AA40)</f>
        <v>#REF!</v>
      </c>
      <c r="V40" s="155" t="e">
        <f>SUM(Y40:AB40)</f>
        <v>#REF!</v>
      </c>
      <c r="W40" s="155">
        <v>0</v>
      </c>
      <c r="X40" s="155" t="e">
        <f>+RESUMEN!#REF!</f>
        <v>#REF!</v>
      </c>
      <c r="Y40" s="155">
        <v>0</v>
      </c>
      <c r="Z40" s="155" t="e">
        <f>+RESUMEN!#REF!</f>
        <v>#REF!</v>
      </c>
      <c r="AA40" s="155">
        <v>0</v>
      </c>
      <c r="AB40" s="155" t="e">
        <f>+RESUMEN!#REF!</f>
        <v>#REF!</v>
      </c>
    </row>
    <row r="41" spans="2:28" s="6" customFormat="1" ht="16" customHeight="1" x14ac:dyDescent="0.25">
      <c r="B41" s="144"/>
      <c r="C41" s="147"/>
      <c r="D41" s="168"/>
      <c r="E41" s="143"/>
      <c r="F41" s="156"/>
      <c r="G41" s="157"/>
      <c r="H41" s="157"/>
      <c r="I41" s="155"/>
      <c r="J41" s="155"/>
      <c r="K41" s="200"/>
      <c r="L41" s="200"/>
      <c r="M41" s="155"/>
      <c r="N41" s="155"/>
      <c r="O41" s="155"/>
      <c r="P41" s="155"/>
      <c r="Q41" s="155"/>
      <c r="R41" s="155"/>
      <c r="S41" s="155"/>
      <c r="T41" s="155"/>
      <c r="U41" s="155"/>
      <c r="V41" s="155"/>
      <c r="W41" s="155"/>
      <c r="X41" s="155"/>
      <c r="Y41" s="155"/>
      <c r="Z41" s="155"/>
      <c r="AA41" s="155"/>
      <c r="AB41" s="155"/>
    </row>
    <row r="42" spans="2:28" s="6" customFormat="1" ht="16" customHeight="1" x14ac:dyDescent="0.25">
      <c r="B42" s="144" t="s">
        <v>55</v>
      </c>
      <c r="C42" s="147"/>
      <c r="D42" s="168" t="e">
        <f>G42+Q42+S42+U42</f>
        <v>#REF!</v>
      </c>
      <c r="E42" s="201" t="e">
        <f>+RESUMEN!#REF!</f>
        <v>#REF!</v>
      </c>
      <c r="F42" s="156"/>
      <c r="G42" s="197" t="e">
        <f>I42+K42</f>
        <v>#REF!</v>
      </c>
      <c r="H42" s="197" t="e">
        <f>+RESUMEN!#REF!</f>
        <v>#REF!</v>
      </c>
      <c r="I42" s="146">
        <f>32169311.73/1000000</f>
        <v>32.17</v>
      </c>
      <c r="J42" s="198" t="e">
        <f>+RESUMEN!#REF!</f>
        <v>#REF!</v>
      </c>
      <c r="K42" s="157" t="e">
        <f>SUM(M42:O42)</f>
        <v>#REF!</v>
      </c>
      <c r="L42" s="157">
        <v>0</v>
      </c>
      <c r="M42" s="155">
        <v>0</v>
      </c>
      <c r="N42" s="155" t="e">
        <f>+RESUMEN!#REF!</f>
        <v>#REF!</v>
      </c>
      <c r="O42" s="155">
        <v>0</v>
      </c>
      <c r="P42" s="146" t="e">
        <f>+RESUMEN!#REF!</f>
        <v>#REF!</v>
      </c>
      <c r="Q42" s="155">
        <v>0</v>
      </c>
      <c r="R42" s="155" t="e">
        <f>+RESUMEN!#REF!</f>
        <v>#REF!</v>
      </c>
      <c r="S42" s="155">
        <v>0</v>
      </c>
      <c r="T42" s="155" t="e">
        <f>+RESUMEN!#REF!</f>
        <v>#REF!</v>
      </c>
      <c r="U42" s="155" t="e">
        <f>SUM(W42:AA42)</f>
        <v>#REF!</v>
      </c>
      <c r="V42" s="155" t="e">
        <f>SUM(Y42:AB42)</f>
        <v>#REF!</v>
      </c>
      <c r="W42" s="155">
        <v>0</v>
      </c>
      <c r="X42" s="155" t="e">
        <f>+RESUMEN!#REF!</f>
        <v>#REF!</v>
      </c>
      <c r="Y42" s="155">
        <v>0</v>
      </c>
      <c r="Z42" s="155" t="e">
        <f>+RESUMEN!#REF!</f>
        <v>#REF!</v>
      </c>
      <c r="AA42" s="155">
        <v>0</v>
      </c>
      <c r="AB42" s="155" t="e">
        <f>+RESUMEN!#REF!</f>
        <v>#REF!</v>
      </c>
    </row>
    <row r="43" spans="2:28" s="6" customFormat="1" ht="8.15" customHeight="1" x14ac:dyDescent="0.25">
      <c r="B43" s="144"/>
      <c r="C43" s="147"/>
      <c r="D43" s="171"/>
      <c r="E43" s="189"/>
      <c r="F43" s="147"/>
      <c r="G43" s="149"/>
      <c r="H43" s="149"/>
      <c r="I43" s="149"/>
      <c r="J43" s="149"/>
      <c r="K43" s="149"/>
      <c r="L43" s="149"/>
      <c r="M43" s="149"/>
      <c r="N43" s="149"/>
      <c r="O43" s="149"/>
      <c r="P43" s="149"/>
      <c r="Q43" s="149"/>
      <c r="R43" s="149"/>
      <c r="S43" s="149"/>
      <c r="T43" s="149"/>
      <c r="U43" s="149"/>
      <c r="V43" s="149"/>
      <c r="W43" s="150"/>
      <c r="X43" s="150"/>
      <c r="Y43" s="150"/>
      <c r="Z43" s="150"/>
      <c r="AA43" s="150"/>
      <c r="AB43" s="150"/>
    </row>
    <row r="44" spans="2:28" ht="10" customHeight="1" x14ac:dyDescent="0.25">
      <c r="B44" s="164"/>
      <c r="C44" s="148"/>
      <c r="D44" s="16"/>
      <c r="E44" s="190"/>
      <c r="F44" s="151"/>
      <c r="W44" s="152"/>
      <c r="X44" s="178"/>
      <c r="Y44" s="152"/>
      <c r="Z44" s="178"/>
      <c r="AA44" s="152"/>
      <c r="AB44" s="178"/>
    </row>
    <row r="45" spans="2:28" s="161" customFormat="1" ht="20.149999999999999" customHeight="1" x14ac:dyDescent="0.25">
      <c r="B45" s="161" t="s">
        <v>71</v>
      </c>
      <c r="D45" s="6"/>
      <c r="E45" s="191"/>
      <c r="H45" s="186"/>
      <c r="J45" s="186"/>
      <c r="L45" s="186"/>
      <c r="N45" s="186"/>
      <c r="P45" s="186"/>
      <c r="R45" s="186"/>
      <c r="T45" s="186"/>
      <c r="V45" s="186"/>
      <c r="W45" s="162"/>
      <c r="X45" s="179"/>
      <c r="Y45" s="162"/>
      <c r="Z45" s="179"/>
      <c r="AA45" s="162"/>
      <c r="AB45" s="179"/>
    </row>
    <row r="46" spans="2:28" s="161" customFormat="1" ht="20.149999999999999" customHeight="1" x14ac:dyDescent="0.25">
      <c r="B46" s="163" t="s">
        <v>84</v>
      </c>
      <c r="D46" s="6"/>
      <c r="E46" s="191"/>
      <c r="H46" s="186"/>
      <c r="J46" s="186"/>
      <c r="L46" s="186"/>
      <c r="N46" s="186"/>
      <c r="P46" s="186"/>
      <c r="R46" s="186"/>
      <c r="T46" s="186"/>
      <c r="V46" s="186"/>
      <c r="W46" s="162"/>
      <c r="X46" s="179"/>
      <c r="Y46" s="162"/>
      <c r="Z46" s="179"/>
      <c r="AA46" s="162"/>
      <c r="AB46" s="179"/>
    </row>
    <row r="47" spans="2:28" s="161" customFormat="1" ht="20.149999999999999" customHeight="1" x14ac:dyDescent="0.25">
      <c r="B47" s="163" t="s">
        <v>81</v>
      </c>
      <c r="D47" s="6"/>
      <c r="E47" s="191"/>
      <c r="H47" s="186"/>
      <c r="J47" s="186"/>
      <c r="L47" s="186"/>
      <c r="N47" s="186"/>
      <c r="P47" s="186"/>
      <c r="R47" s="186"/>
      <c r="T47" s="186"/>
      <c r="V47" s="186"/>
      <c r="W47" s="162"/>
      <c r="X47" s="179"/>
      <c r="Y47" s="162"/>
      <c r="Z47" s="179"/>
      <c r="AA47" s="162"/>
      <c r="AB47" s="179"/>
    </row>
    <row r="48" spans="2:28" s="158" customFormat="1" ht="10" customHeight="1" x14ac:dyDescent="0.25">
      <c r="D48" s="142"/>
      <c r="E48" s="192"/>
      <c r="H48" s="187"/>
      <c r="J48" s="187"/>
      <c r="L48" s="187"/>
      <c r="N48" s="187"/>
      <c r="P48" s="187"/>
      <c r="R48" s="187"/>
      <c r="T48" s="187"/>
      <c r="V48" s="187"/>
      <c r="W48" s="159"/>
      <c r="X48" s="180"/>
      <c r="Y48" s="159"/>
      <c r="Z48" s="180"/>
      <c r="AA48" s="159"/>
      <c r="AB48" s="180"/>
    </row>
    <row r="49" spans="2:28" s="161" customFormat="1" ht="20.149999999999999" customHeight="1" x14ac:dyDescent="0.25">
      <c r="B49" s="161" t="s">
        <v>74</v>
      </c>
      <c r="D49" s="6"/>
      <c r="E49" s="191"/>
      <c r="H49" s="186"/>
      <c r="J49" s="186"/>
      <c r="L49" s="186"/>
      <c r="N49" s="186"/>
      <c r="P49" s="186"/>
      <c r="R49" s="186"/>
      <c r="T49" s="186"/>
      <c r="V49" s="186"/>
      <c r="W49" s="162"/>
      <c r="X49" s="179"/>
      <c r="Y49" s="162"/>
      <c r="Z49" s="179"/>
      <c r="AA49" s="162"/>
      <c r="AB49" s="179"/>
    </row>
    <row r="50" spans="2:28" s="161" customFormat="1" ht="20.149999999999999" customHeight="1" x14ac:dyDescent="0.25">
      <c r="B50" s="163" t="s">
        <v>78</v>
      </c>
      <c r="D50" s="6"/>
      <c r="E50" s="191"/>
      <c r="H50" s="186"/>
      <c r="J50" s="186"/>
      <c r="L50" s="186"/>
      <c r="N50" s="186"/>
      <c r="P50" s="186"/>
      <c r="R50" s="186"/>
      <c r="T50" s="186"/>
      <c r="V50" s="186"/>
      <c r="W50" s="162"/>
      <c r="X50" s="179"/>
      <c r="Y50" s="162"/>
      <c r="Z50" s="179"/>
      <c r="AA50" s="162"/>
      <c r="AB50" s="179"/>
    </row>
    <row r="51" spans="2:28" s="161" customFormat="1" ht="20.149999999999999" customHeight="1" x14ac:dyDescent="0.25">
      <c r="B51" s="163" t="s">
        <v>75</v>
      </c>
      <c r="D51" s="6"/>
      <c r="E51" s="191"/>
      <c r="H51" s="186"/>
      <c r="J51" s="186"/>
      <c r="L51" s="186"/>
      <c r="N51" s="186"/>
      <c r="P51" s="186"/>
      <c r="R51" s="186"/>
      <c r="T51" s="186"/>
      <c r="V51" s="186"/>
      <c r="W51" s="162"/>
      <c r="X51" s="179"/>
      <c r="Y51" s="162"/>
      <c r="Z51" s="179"/>
      <c r="AA51" s="162"/>
      <c r="AB51" s="179"/>
    </row>
    <row r="52" spans="2:28" s="161" customFormat="1" ht="20.149999999999999" customHeight="1" x14ac:dyDescent="0.25">
      <c r="B52" s="163" t="s">
        <v>73</v>
      </c>
      <c r="D52" s="6"/>
      <c r="E52" s="191"/>
      <c r="H52" s="186"/>
      <c r="J52" s="186"/>
      <c r="L52" s="186"/>
      <c r="N52" s="186"/>
      <c r="P52" s="186"/>
      <c r="R52" s="186"/>
      <c r="T52" s="186"/>
      <c r="V52" s="186"/>
      <c r="W52" s="162"/>
      <c r="X52" s="179"/>
      <c r="Y52" s="162"/>
      <c r="Z52" s="179"/>
      <c r="AA52" s="162"/>
      <c r="AB52" s="179"/>
    </row>
    <row r="53" spans="2:28" s="161" customFormat="1" ht="20.149999999999999" customHeight="1" x14ac:dyDescent="0.25">
      <c r="B53" s="163" t="s">
        <v>79</v>
      </c>
      <c r="D53" s="6"/>
      <c r="E53" s="191"/>
      <c r="H53" s="186"/>
      <c r="J53" s="186"/>
      <c r="L53" s="186"/>
      <c r="N53" s="186"/>
      <c r="P53" s="186"/>
      <c r="R53" s="186"/>
      <c r="T53" s="186"/>
      <c r="V53" s="186"/>
      <c r="W53" s="162"/>
      <c r="X53" s="179"/>
      <c r="Y53" s="162"/>
      <c r="Z53" s="179"/>
      <c r="AA53" s="162"/>
      <c r="AB53" s="179"/>
    </row>
    <row r="54" spans="2:28" s="158" customFormat="1" ht="10" customHeight="1" x14ac:dyDescent="0.25">
      <c r="B54" s="160"/>
      <c r="D54" s="142"/>
      <c r="E54" s="192"/>
      <c r="H54" s="187"/>
      <c r="J54" s="187"/>
      <c r="L54" s="187"/>
      <c r="N54" s="187"/>
      <c r="P54" s="187"/>
      <c r="R54" s="187"/>
      <c r="T54" s="187"/>
      <c r="V54" s="187"/>
      <c r="W54" s="159"/>
      <c r="X54" s="180"/>
      <c r="Y54" s="159"/>
      <c r="Z54" s="180"/>
      <c r="AA54" s="159"/>
      <c r="AB54" s="180"/>
    </row>
    <row r="55" spans="2:28" s="161" customFormat="1" ht="20.149999999999999" customHeight="1" x14ac:dyDescent="0.25">
      <c r="B55" s="163" t="str">
        <f>+'CSS-SALDO ju22'!B57</f>
        <v>Elaborado por: Lilia Psomas - Unidad Técnica Especializada de Inversiones CSS.</v>
      </c>
      <c r="D55" s="6"/>
      <c r="E55" s="191"/>
      <c r="H55" s="186"/>
      <c r="J55" s="186"/>
      <c r="L55" s="186"/>
      <c r="N55" s="186"/>
      <c r="P55" s="186"/>
      <c r="R55" s="186"/>
      <c r="T55" s="186"/>
      <c r="V55" s="186"/>
      <c r="W55" s="162"/>
      <c r="X55" s="179"/>
      <c r="Y55" s="162"/>
      <c r="Z55" s="179"/>
      <c r="AA55" s="162"/>
      <c r="AB55" s="179"/>
    </row>
    <row r="56" spans="2:28" s="161" customFormat="1" ht="20.149999999999999" customHeight="1" x14ac:dyDescent="0.25">
      <c r="B56" s="163" t="str">
        <f>+'CSS-SALDO ju22'!B58</f>
        <v>Fecha de actualización: Agosto 12, 2022</v>
      </c>
      <c r="D56" s="6"/>
      <c r="E56" s="191"/>
      <c r="H56" s="186"/>
      <c r="J56" s="186"/>
      <c r="L56" s="186"/>
      <c r="N56" s="186"/>
      <c r="P56" s="186"/>
      <c r="R56" s="186"/>
      <c r="T56" s="186"/>
      <c r="V56" s="186"/>
      <c r="W56" s="162"/>
      <c r="X56" s="179"/>
      <c r="Y56" s="162"/>
      <c r="Z56" s="179"/>
      <c r="AA56" s="162"/>
      <c r="AB56" s="179"/>
    </row>
  </sheetData>
  <sheetProtection selectLockedCells="1" selectUnlockedCells="1"/>
  <mergeCells count="31">
    <mergeCell ref="Y1:AA1"/>
    <mergeCell ref="B9:B11"/>
    <mergeCell ref="D9:D11"/>
    <mergeCell ref="E9:E11"/>
    <mergeCell ref="G9:P9"/>
    <mergeCell ref="Q9:Q11"/>
    <mergeCell ref="R9:R11"/>
    <mergeCell ref="S9:S11"/>
    <mergeCell ref="T9:T11"/>
    <mergeCell ref="U9:AB9"/>
    <mergeCell ref="B4:AB4"/>
    <mergeCell ref="W10:W11"/>
    <mergeCell ref="X10:X11"/>
    <mergeCell ref="B2:AB2"/>
    <mergeCell ref="B3:AB3"/>
    <mergeCell ref="Y10:AB10"/>
    <mergeCell ref="B7:AB7"/>
    <mergeCell ref="B6:AB6"/>
    <mergeCell ref="B5:AB5"/>
    <mergeCell ref="M10:M11"/>
    <mergeCell ref="N10:N11"/>
    <mergeCell ref="O10:O11"/>
    <mergeCell ref="P10:P11"/>
    <mergeCell ref="U10:U11"/>
    <mergeCell ref="V10:V11"/>
    <mergeCell ref="G10:G11"/>
    <mergeCell ref="H10:H11"/>
    <mergeCell ref="I10:I11"/>
    <mergeCell ref="J10:J11"/>
    <mergeCell ref="K10:K11"/>
    <mergeCell ref="L10:L11"/>
  </mergeCells>
  <printOptions horizontalCentered="1" verticalCentered="1"/>
  <pageMargins left="0" right="0" top="0.23622047244094491" bottom="0" header="0" footer="0"/>
  <pageSetup scale="57" firstPageNumber="0" orientation="landscape" r:id="rId1"/>
  <headerFooter alignWithMargins="0"/>
  <ignoredErrors>
    <ignoredError sqref="Z13 V13:X13 J13:T13 Z19 V19 V15:W15 P15 N19:P19 L15 L19 J19 H21 R18:R19 T18:T19 H15:H19" formula="1"/>
    <ignoredError sqref="V27 V29 V34 V36 V38 V40 V42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C75"/>
  <sheetViews>
    <sheetView showGridLines="0" topLeftCell="A7" zoomScaleNormal="100" workbookViewId="0">
      <selection activeCell="C22" sqref="C22"/>
    </sheetView>
  </sheetViews>
  <sheetFormatPr baseColWidth="10" defaultColWidth="11.453125" defaultRowHeight="13" x14ac:dyDescent="0.3"/>
  <cols>
    <col min="1" max="1" width="46.54296875" style="3" customWidth="1"/>
    <col min="2" max="2" width="1" style="3" customWidth="1"/>
    <col min="3" max="3" width="21.453125" style="3" customWidth="1"/>
    <col min="4" max="4" width="11.1796875" style="12" customWidth="1"/>
    <col min="5" max="5" width="8.7265625" style="3" customWidth="1"/>
    <col min="6" max="6" width="18" style="3" customWidth="1"/>
    <col min="7" max="7" width="12.453125" style="3" customWidth="1"/>
    <col min="8" max="8" width="21.26953125" style="29" customWidth="1"/>
    <col min="9" max="9" width="10" style="29" customWidth="1"/>
    <col min="10" max="10" width="18.54296875" style="29" customWidth="1"/>
    <col min="11" max="11" width="13.1796875" style="29" customWidth="1"/>
    <col min="12" max="12" width="18.26953125" style="29" customWidth="1"/>
    <col min="13" max="13" width="12.453125" style="29" customWidth="1"/>
    <col min="14" max="14" width="18.54296875" style="29" customWidth="1"/>
    <col min="15" max="15" width="11.81640625" style="29" customWidth="1"/>
    <col min="16" max="16" width="19.26953125" style="29" customWidth="1"/>
    <col min="17" max="17" width="12.453125" style="29" customWidth="1"/>
    <col min="18" max="18" width="19.26953125" style="29" customWidth="1"/>
    <col min="19" max="19" width="10.7265625" style="29" customWidth="1"/>
    <col min="20" max="20" width="20" style="29" customWidth="1"/>
    <col min="21" max="21" width="12.453125" style="29" customWidth="1"/>
    <col min="22" max="22" width="19.54296875" style="29" customWidth="1"/>
    <col min="23" max="23" width="10.1796875" style="29" customWidth="1"/>
    <col min="24" max="24" width="18.26953125" style="29" customWidth="1"/>
    <col min="25" max="25" width="10.1796875" style="29" customWidth="1"/>
    <col min="26" max="26" width="16" style="29" customWidth="1"/>
    <col min="27" max="27" width="11.54296875" style="29" customWidth="1"/>
    <col min="28" max="28" width="5.453125" style="29" customWidth="1"/>
    <col min="29" max="29" width="21.26953125" style="3" customWidth="1"/>
    <col min="30" max="30" width="19.26953125" style="3" customWidth="1"/>
    <col min="31" max="16384" width="11.453125" style="3"/>
  </cols>
  <sheetData>
    <row r="1" spans="1:29" ht="18" customHeight="1" x14ac:dyDescent="0.35">
      <c r="A1" s="33"/>
      <c r="B1" s="1"/>
      <c r="C1" s="1"/>
      <c r="D1" s="1"/>
      <c r="E1" s="1"/>
      <c r="F1" s="1"/>
      <c r="G1" s="1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1621"/>
      <c r="Y1" s="1621"/>
      <c r="Z1" s="1621"/>
      <c r="AA1" s="1621"/>
    </row>
    <row r="2" spans="1:29" ht="18" x14ac:dyDescent="0.4">
      <c r="A2" s="1622" t="s">
        <v>0</v>
      </c>
      <c r="B2" s="1622"/>
      <c r="C2" s="1622"/>
      <c r="D2" s="1622"/>
      <c r="E2" s="1622"/>
      <c r="F2" s="1622"/>
      <c r="G2" s="1622"/>
      <c r="H2" s="1622"/>
      <c r="I2" s="1622"/>
      <c r="J2" s="1622"/>
      <c r="K2" s="1622"/>
      <c r="L2" s="1622"/>
      <c r="M2" s="1622"/>
      <c r="N2" s="1622"/>
      <c r="O2" s="1622"/>
      <c r="P2" s="1622"/>
      <c r="Q2" s="1622"/>
      <c r="R2" s="1622"/>
      <c r="S2" s="1622"/>
      <c r="T2" s="1622"/>
      <c r="U2" s="1622"/>
      <c r="V2" s="1622"/>
      <c r="W2" s="1622"/>
      <c r="X2" s="1622"/>
      <c r="Y2" s="1622"/>
      <c r="Z2" s="1622"/>
      <c r="AA2" s="1622"/>
    </row>
    <row r="3" spans="1:29" ht="18" x14ac:dyDescent="0.4">
      <c r="A3" s="1622" t="s">
        <v>1</v>
      </c>
      <c r="B3" s="1622"/>
      <c r="C3" s="1622"/>
      <c r="D3" s="1622"/>
      <c r="E3" s="1622"/>
      <c r="F3" s="1622"/>
      <c r="G3" s="1622"/>
      <c r="H3" s="1622"/>
      <c r="I3" s="1622"/>
      <c r="J3" s="1622"/>
      <c r="K3" s="1622"/>
      <c r="L3" s="1622"/>
      <c r="M3" s="1622"/>
      <c r="N3" s="1622"/>
      <c r="O3" s="1622"/>
      <c r="P3" s="1622"/>
      <c r="Q3" s="1622"/>
      <c r="R3" s="1622"/>
      <c r="S3" s="1622"/>
      <c r="T3" s="1622"/>
      <c r="U3" s="1622"/>
      <c r="V3" s="1622"/>
      <c r="W3" s="1622"/>
      <c r="X3" s="1622"/>
      <c r="Y3" s="1622"/>
      <c r="Z3" s="1622"/>
      <c r="AA3" s="1622"/>
    </row>
    <row r="4" spans="1:29" ht="7.5" customHeight="1" x14ac:dyDescent="0.3">
      <c r="A4" s="4"/>
      <c r="B4" s="4"/>
      <c r="C4" s="4"/>
      <c r="D4" s="4"/>
      <c r="E4" s="4"/>
      <c r="F4" s="4"/>
      <c r="G4" s="4"/>
      <c r="H4" s="34"/>
      <c r="I4" s="34"/>
      <c r="J4" s="34"/>
      <c r="K4" s="34"/>
      <c r="L4" s="34"/>
      <c r="M4" s="34"/>
      <c r="N4" s="34"/>
      <c r="O4" s="34"/>
      <c r="P4" s="35"/>
      <c r="Q4" s="34"/>
      <c r="R4" s="35"/>
      <c r="S4" s="34"/>
      <c r="T4" s="35"/>
      <c r="U4" s="34"/>
      <c r="V4" s="34"/>
      <c r="W4" s="34"/>
      <c r="X4" s="34"/>
      <c r="Y4" s="34"/>
      <c r="Z4" s="34"/>
      <c r="AA4" s="34"/>
    </row>
    <row r="5" spans="1:29" ht="18" x14ac:dyDescent="0.4">
      <c r="A5" s="1622" t="s">
        <v>38</v>
      </c>
      <c r="B5" s="1622"/>
      <c r="C5" s="1622"/>
      <c r="D5" s="1622"/>
      <c r="E5" s="1622"/>
      <c r="F5" s="1622"/>
      <c r="G5" s="1622"/>
      <c r="H5" s="1622"/>
      <c r="I5" s="1622"/>
      <c r="J5" s="1622"/>
      <c r="K5" s="1622"/>
      <c r="L5" s="1622"/>
      <c r="M5" s="1622"/>
      <c r="N5" s="1622"/>
      <c r="O5" s="1622"/>
      <c r="P5" s="1622"/>
      <c r="Q5" s="1622"/>
      <c r="R5" s="1622"/>
      <c r="S5" s="1622"/>
      <c r="T5" s="1622"/>
      <c r="U5" s="1622"/>
      <c r="V5" s="1622"/>
      <c r="W5" s="1622"/>
      <c r="X5" s="1622"/>
      <c r="Y5" s="1622"/>
      <c r="Z5" s="1622"/>
      <c r="AA5" s="1622"/>
      <c r="AB5" s="29" t="s">
        <v>18</v>
      </c>
    </row>
    <row r="6" spans="1:29" ht="18" x14ac:dyDescent="0.4">
      <c r="A6" s="1622" t="s">
        <v>83</v>
      </c>
      <c r="B6" s="1622"/>
      <c r="C6" s="1622"/>
      <c r="D6" s="1622"/>
      <c r="E6" s="1622"/>
      <c r="F6" s="1622"/>
      <c r="G6" s="1622"/>
      <c r="H6" s="1622"/>
      <c r="I6" s="1622"/>
      <c r="J6" s="1622"/>
      <c r="K6" s="1622"/>
      <c r="L6" s="1622"/>
      <c r="M6" s="1622"/>
      <c r="N6" s="1622"/>
      <c r="O6" s="1622"/>
      <c r="P6" s="1622"/>
      <c r="Q6" s="1622"/>
      <c r="R6" s="1622"/>
      <c r="S6" s="1622"/>
      <c r="T6" s="1622"/>
      <c r="U6" s="1622"/>
      <c r="V6" s="1622"/>
      <c r="W6" s="1622"/>
      <c r="X6" s="1622"/>
      <c r="Y6" s="1622"/>
      <c r="Z6" s="1622"/>
      <c r="AA6" s="1622"/>
    </row>
    <row r="7" spans="1:29" ht="15.5" x14ac:dyDescent="0.35">
      <c r="A7" s="1620" t="s">
        <v>39</v>
      </c>
      <c r="B7" s="1620"/>
      <c r="C7" s="1620"/>
      <c r="D7" s="1620"/>
      <c r="E7" s="1620"/>
      <c r="F7" s="1620"/>
      <c r="G7" s="1620"/>
      <c r="H7" s="1620"/>
      <c r="I7" s="1620"/>
      <c r="J7" s="1620"/>
      <c r="K7" s="1620"/>
      <c r="L7" s="1620"/>
      <c r="M7" s="1620"/>
      <c r="N7" s="1620"/>
      <c r="O7" s="1620"/>
      <c r="P7" s="1620"/>
      <c r="Q7" s="1620"/>
      <c r="R7" s="1620"/>
      <c r="S7" s="1620"/>
      <c r="T7" s="1620"/>
      <c r="U7" s="1620"/>
      <c r="V7" s="1620"/>
      <c r="W7" s="1620"/>
      <c r="X7" s="1620"/>
      <c r="Y7" s="1620"/>
      <c r="Z7" s="1620"/>
      <c r="AA7" s="1620"/>
    </row>
    <row r="8" spans="1:29" ht="15.75" customHeight="1" x14ac:dyDescent="0.3">
      <c r="A8" s="1617" t="s">
        <v>4</v>
      </c>
      <c r="B8" s="1617"/>
      <c r="C8" s="1617"/>
      <c r="D8" s="1617"/>
      <c r="E8" s="1617"/>
      <c r="F8" s="1617"/>
      <c r="G8" s="1617"/>
      <c r="H8" s="1617"/>
      <c r="I8" s="1617"/>
      <c r="J8" s="1617"/>
      <c r="K8" s="1617"/>
      <c r="L8" s="1617"/>
      <c r="M8" s="1617"/>
      <c r="N8" s="1617"/>
      <c r="O8" s="1617"/>
      <c r="P8" s="1617"/>
      <c r="Q8" s="1617"/>
      <c r="R8" s="1617"/>
      <c r="S8" s="1617"/>
      <c r="T8" s="1617"/>
      <c r="U8" s="1617"/>
      <c r="V8" s="1617"/>
      <c r="W8" s="1617"/>
      <c r="X8" s="1617"/>
      <c r="Y8" s="1617"/>
      <c r="Z8" s="1617"/>
      <c r="AA8" s="1617"/>
    </row>
    <row r="9" spans="1:29" ht="25.5" customHeight="1" x14ac:dyDescent="0.3">
      <c r="A9" s="1616" t="s">
        <v>5</v>
      </c>
      <c r="B9" s="36"/>
      <c r="C9" s="1616" t="s">
        <v>6</v>
      </c>
      <c r="D9" s="1616"/>
      <c r="E9" s="36"/>
      <c r="F9" s="37" t="s">
        <v>7</v>
      </c>
      <c r="G9" s="1618" t="s">
        <v>7</v>
      </c>
      <c r="H9" s="1618"/>
      <c r="I9" s="1618"/>
      <c r="J9" s="1618"/>
      <c r="K9" s="1618"/>
      <c r="L9" s="1618"/>
      <c r="M9" s="1618"/>
      <c r="N9" s="1618"/>
      <c r="O9" s="1619"/>
      <c r="P9" s="1616" t="s">
        <v>8</v>
      </c>
      <c r="Q9" s="1616"/>
      <c r="R9" s="1616" t="s">
        <v>9</v>
      </c>
      <c r="S9" s="1616"/>
      <c r="T9" s="1616" t="s">
        <v>40</v>
      </c>
      <c r="U9" s="1616"/>
      <c r="V9" s="1616"/>
      <c r="W9" s="1616"/>
      <c r="X9" s="1616"/>
      <c r="Y9" s="1616"/>
      <c r="Z9" s="1616"/>
      <c r="AA9" s="1616"/>
    </row>
    <row r="10" spans="1:29" ht="57" customHeight="1" x14ac:dyDescent="0.3">
      <c r="A10" s="1616"/>
      <c r="B10" s="36"/>
      <c r="C10" s="1616"/>
      <c r="D10" s="1616"/>
      <c r="E10" s="36"/>
      <c r="F10" s="1616" t="s">
        <v>10</v>
      </c>
      <c r="G10" s="1616"/>
      <c r="H10" s="1616" t="s">
        <v>11</v>
      </c>
      <c r="I10" s="1616"/>
      <c r="J10" s="1616" t="s">
        <v>12</v>
      </c>
      <c r="K10" s="1616"/>
      <c r="L10" s="1616" t="s">
        <v>13</v>
      </c>
      <c r="M10" s="1616"/>
      <c r="N10" s="1616" t="s">
        <v>14</v>
      </c>
      <c r="O10" s="1616"/>
      <c r="P10" s="1616"/>
      <c r="Q10" s="1616"/>
      <c r="R10" s="1616"/>
      <c r="S10" s="1616"/>
      <c r="T10" s="1616" t="s">
        <v>15</v>
      </c>
      <c r="U10" s="1616"/>
      <c r="V10" s="1616" t="s">
        <v>16</v>
      </c>
      <c r="W10" s="1616"/>
      <c r="X10" s="1616" t="s">
        <v>41</v>
      </c>
      <c r="Y10" s="1616"/>
      <c r="Z10" s="1616" t="s">
        <v>42</v>
      </c>
      <c r="AA10" s="1616"/>
    </row>
    <row r="11" spans="1:29" s="5" customFormat="1" ht="6.75" customHeight="1" x14ac:dyDescent="0.25">
      <c r="A11" s="38"/>
      <c r="B11" s="38"/>
      <c r="C11" s="38"/>
      <c r="D11" s="39"/>
      <c r="E11" s="38"/>
      <c r="F11" s="38"/>
      <c r="G11" s="39"/>
      <c r="H11" s="38"/>
      <c r="I11" s="39"/>
      <c r="J11" s="38"/>
      <c r="K11" s="39"/>
      <c r="L11" s="38"/>
      <c r="M11" s="39"/>
      <c r="N11" s="7"/>
      <c r="O11" s="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</row>
    <row r="12" spans="1:29" s="17" customFormat="1" ht="24" customHeight="1" x14ac:dyDescent="0.3">
      <c r="A12" s="40" t="s">
        <v>6</v>
      </c>
      <c r="B12" s="41"/>
      <c r="C12" s="42">
        <f>C14+C20+C31+C33+C35+C37+C39+C29+C41+0.01</f>
        <v>9303460936.8400002</v>
      </c>
      <c r="D12" s="42">
        <f>(D14*C14+D20*C20+D29*C29+D31*C31+D33*C33+D35*C35+D37*C37+D39*C39+D41*C41)/C12</f>
        <v>3.51</v>
      </c>
      <c r="E12" s="43">
        <f>(G12*F12+Q12*P12+S12*R12+U12*T12)/C12</f>
        <v>3.51</v>
      </c>
      <c r="F12" s="42">
        <f>F14+F20+F31+F33+F35+F37+F39+F29+F41+0.01</f>
        <v>7270304111.3299999</v>
      </c>
      <c r="G12" s="44">
        <f>(G14*F14+G20*F20+G29*F29+G31*F31+G33*F33+G35*F35+G37*F37+G39*F39+G41*F41)/F12</f>
        <v>3.95</v>
      </c>
      <c r="H12" s="42">
        <f>H14+H20+H31+H33+H35+H37+H39+H29+H41+0.01</f>
        <v>2952272745.02</v>
      </c>
      <c r="I12" s="42">
        <f>(I14*H14+I20*H20+I29*H29+I31*H31+I33*H33+I35*H35+I37*H37+I39*H39+I41*H41)/H12</f>
        <v>4.18</v>
      </c>
      <c r="J12" s="45">
        <f>J14+J20+J31+J33+J35+J37+J29+J41+0.01</f>
        <v>4318031366.3199997</v>
      </c>
      <c r="K12" s="45">
        <f>(K14*J14+K20*J20+K29*J29+K31*J31+K33*J33+K35*J35+K37*J37+K39*J39)/J12</f>
        <v>3.79</v>
      </c>
      <c r="L12" s="42">
        <f>L14+L20+L31+L33+L35+L37+L29+L41</f>
        <v>1598882062.8900001</v>
      </c>
      <c r="M12" s="46">
        <f>(M14*L14+M20*L20+M29*L29+M31*L31+M33*L33+M35*L35+M37*L37+M41*L41)/L12</f>
        <v>3.46</v>
      </c>
      <c r="N12" s="47">
        <f>N14+N20+N31+N33+N35+N37+N29+N41+0.01</f>
        <v>2719149303.4200001</v>
      </c>
      <c r="O12" s="47">
        <f>(O14*N14+O20*N20+O29*N29+O31*N31+O33*N33+O35*N35+O37*N37+O41*N41)/N12</f>
        <v>3.98</v>
      </c>
      <c r="P12" s="48">
        <f>P14+P20+P31+P33+P35+P37+P29+P41</f>
        <v>348763944.5</v>
      </c>
      <c r="Q12" s="42">
        <f>(Q14*P14+Q20*P20+Q29*P29+Q31*P31+Q33*P33+Q35*P35+Q37*P37+Q41*P41)/P12</f>
        <v>2.2400000000000002</v>
      </c>
      <c r="R12" s="42">
        <f>R14+R20+R31+R33+R35+R37+R29+R41</f>
        <v>985863739.12</v>
      </c>
      <c r="S12" s="42">
        <f>(S14*R14+S20*R20+S29*R29+S31*R31+S33*R33+S35*R35+S37*R37+S41*R41)/R12</f>
        <v>1.49</v>
      </c>
      <c r="T12" s="42">
        <f>T14+T20+T31+T33+T35+T37+T29+T41</f>
        <v>698529141.88999999</v>
      </c>
      <c r="U12" s="42">
        <f>(U14*T14+U20*T20+U29*T29+U31*T31+U33*T33+U35*T35+U37*T37+U41*T41)/T12</f>
        <v>2.39</v>
      </c>
      <c r="V12" s="42">
        <f>V14+V20+V31+V33+V35+V37+V29+V41</f>
        <v>531934085.45999998</v>
      </c>
      <c r="W12" s="42">
        <f>(W14*V14+W20*V20+W29*V29+W31*V31+W33*V33+W35*V35+W37*V37+W41*V41)/V12</f>
        <v>2.2999999999999998</v>
      </c>
      <c r="X12" s="42">
        <f>X14+X20+X31+X33+X35+X37+X29+X41</f>
        <v>151719300.28</v>
      </c>
      <c r="Y12" s="42">
        <f>(Y14*X14+Y20*X20+Y29*X29+Y31*X31+Y33*X33+Y35*X35+Y37*X37+Y41*X41)/X12</f>
        <v>2.7</v>
      </c>
      <c r="Z12" s="42">
        <f>Z14+Z20+Z31+Z33+Z35+Z37+Z29+Z41</f>
        <v>14875756.140000001</v>
      </c>
      <c r="AA12" s="42">
        <f>(AA14*Z14+AA20*Z20+AA29*Z29+AA31*Z31+AA33*Z33+AA35*Z35+AA37*Z37+AA41*Z41)/Z12</f>
        <v>2.44</v>
      </c>
      <c r="AB12" s="49"/>
      <c r="AC12" s="50"/>
    </row>
    <row r="13" spans="1:29" s="51" customFormat="1" ht="12" customHeight="1" x14ac:dyDescent="0.25">
      <c r="C13" s="52"/>
      <c r="D13" s="52"/>
      <c r="F13" s="53"/>
      <c r="G13" s="53"/>
      <c r="H13" s="54"/>
      <c r="I13" s="54"/>
      <c r="J13" s="53"/>
      <c r="K13" s="53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5"/>
    </row>
    <row r="14" spans="1:29" s="17" customFormat="1" ht="14" x14ac:dyDescent="0.3">
      <c r="A14" s="56" t="s">
        <v>19</v>
      </c>
      <c r="B14" s="57"/>
      <c r="C14" s="58">
        <f>SUM(C15:C18)</f>
        <v>4306118461.1300001</v>
      </c>
      <c r="D14" s="59">
        <f>(D15*C15+D16*C16+D17*C17+D18*C18)/C14</f>
        <v>2.39</v>
      </c>
      <c r="E14" s="60"/>
      <c r="F14" s="61">
        <f>SUM(F15:F18)-0.01</f>
        <v>2585470901.0999999</v>
      </c>
      <c r="G14" s="59">
        <f>(G15*F15+G16*F16+G17*F17+G18*F18)/F14</f>
        <v>2.89</v>
      </c>
      <c r="H14" s="62">
        <f>SUM(H15:H18)+0.01</f>
        <v>895176560.92999995</v>
      </c>
      <c r="I14" s="63">
        <f>(I15*H15+I16*H16+I17*H17+I18*H18)/H14</f>
        <v>2.74</v>
      </c>
      <c r="J14" s="61">
        <f>SUM(J15:J18)+0.01</f>
        <v>1690294340.1800001</v>
      </c>
      <c r="K14" s="64">
        <f>(K15*J15+K16*J16+K17*J17+K18*J18)/J14</f>
        <v>2.97</v>
      </c>
      <c r="L14" s="62">
        <f>SUM(L15:L18)</f>
        <v>742631017.47000003</v>
      </c>
      <c r="M14" s="65">
        <f>(3.25*189387047.6+4.67*289197245.39+0.58*264046724.48)/L14</f>
        <v>2.85</v>
      </c>
      <c r="N14" s="62">
        <f>SUM(N15:N18)+0.01</f>
        <v>947663322.71000004</v>
      </c>
      <c r="O14" s="63">
        <f>(3.23*288474596.77+4.44*409825702.29+0.57*249363023.65)/N14</f>
        <v>3.05</v>
      </c>
      <c r="P14" s="62">
        <f>SUM(P15:P18)</f>
        <v>306336804.97000003</v>
      </c>
      <c r="Q14" s="63">
        <f>(Q15*P15+Q16*P16+Q17*P17+Q18*P18)/P14</f>
        <v>1.83</v>
      </c>
      <c r="R14" s="62">
        <f>SUM(R15:R18)</f>
        <v>973363739.12</v>
      </c>
      <c r="S14" s="63">
        <f>(S15*R15+S16*R16+S17*R17+S18*R18)/R14</f>
        <v>1.47</v>
      </c>
      <c r="T14" s="62">
        <f>SUM(T15:T18)</f>
        <v>440947015.93000001</v>
      </c>
      <c r="U14" s="63">
        <f>(U15*T15+U16*T16+U17*T17+U18*T18)/T14</f>
        <v>1.87</v>
      </c>
      <c r="V14" s="62">
        <f>SUM(V15:V18)-0.01</f>
        <v>319853899.75999999</v>
      </c>
      <c r="W14" s="63">
        <f>(W15*V15+W16*V16+W17*V17+W18*V18)/V14</f>
        <v>1.8</v>
      </c>
      <c r="X14" s="62">
        <f>SUM(X15:X18)</f>
        <v>109030113.26000001</v>
      </c>
      <c r="Y14" s="63">
        <f>(Y15*X15+Y16*X16+Y17*X17+Y18*X18)/X14</f>
        <v>2.0499999999999998</v>
      </c>
      <c r="Z14" s="62">
        <f>SUM(Z15:Z18)</f>
        <v>12063002.9</v>
      </c>
      <c r="AA14" s="63">
        <f>(AA15*Z15+AA16*Z16+AA17*Z17+AA18*Z18)/Z14</f>
        <v>2.0099999999999998</v>
      </c>
      <c r="AB14" s="66"/>
      <c r="AC14" s="50"/>
    </row>
    <row r="15" spans="1:29" s="17" customFormat="1" ht="14" x14ac:dyDescent="0.3">
      <c r="A15" s="67" t="s">
        <v>20</v>
      </c>
      <c r="B15" s="57"/>
      <c r="C15" s="68">
        <f>SUM(F15,P15,R15,T15)</f>
        <v>1130568120.01</v>
      </c>
      <c r="D15" s="69">
        <f>(G15*F15+Q15*P15+S15*R15+U15*T15)/C15</f>
        <v>2.89</v>
      </c>
      <c r="E15" s="70">
        <f>(D15*C15+D17*C17)/(C17+C15)</f>
        <v>1.55</v>
      </c>
      <c r="F15" s="18">
        <f>H15+J15+0.01</f>
        <v>524068101.13999999</v>
      </c>
      <c r="G15" s="69">
        <f>(K15*J15+I15*H15)/F15</f>
        <v>3.22</v>
      </c>
      <c r="H15" s="19">
        <v>46206456.759999998</v>
      </c>
      <c r="I15" s="71">
        <v>3.01</v>
      </c>
      <c r="J15" s="72">
        <v>477861644.37</v>
      </c>
      <c r="K15" s="69">
        <v>3.24</v>
      </c>
      <c r="L15" s="19">
        <v>189387047.59999999</v>
      </c>
      <c r="M15" s="73">
        <v>3.25</v>
      </c>
      <c r="N15" s="19">
        <v>288474596.76999998</v>
      </c>
      <c r="O15" s="71">
        <v>3.23</v>
      </c>
      <c r="P15" s="19">
        <v>104281751.39</v>
      </c>
      <c r="Q15" s="71">
        <v>2.79</v>
      </c>
      <c r="R15" s="19">
        <v>336831553.26999998</v>
      </c>
      <c r="S15" s="71">
        <v>2.5299999999999998</v>
      </c>
      <c r="T15" s="19">
        <f>ROUND(V15+X15+Z15,2)</f>
        <v>165386714.21000001</v>
      </c>
      <c r="U15" s="71">
        <f>(W15*V15+Y15*X15+AA15*Z15)/T15</f>
        <v>2.63</v>
      </c>
      <c r="V15" s="19">
        <v>140511996.94999999</v>
      </c>
      <c r="W15" s="71">
        <v>2.5299999999999998</v>
      </c>
      <c r="X15" s="19">
        <v>23090058.809999999</v>
      </c>
      <c r="Y15" s="71">
        <v>3.19</v>
      </c>
      <c r="Z15" s="19">
        <v>1784658.45</v>
      </c>
      <c r="AA15" s="71">
        <v>3.19</v>
      </c>
      <c r="AB15" s="66"/>
    </row>
    <row r="16" spans="1:29" s="17" customFormat="1" ht="14" x14ac:dyDescent="0.3">
      <c r="A16" s="67" t="s">
        <v>21</v>
      </c>
      <c r="B16" s="57"/>
      <c r="C16" s="74">
        <f>SUM(F16,P16,R16,T16)</f>
        <v>1232810092.27</v>
      </c>
      <c r="D16" s="69">
        <f>(G16*F16+Q16*P16+S16*R16+U16*T16)/C16</f>
        <v>4.4800000000000004</v>
      </c>
      <c r="E16" s="70"/>
      <c r="F16" s="18">
        <f>H16+J16+0.01</f>
        <v>1137112884.99</v>
      </c>
      <c r="G16" s="69">
        <f>(K16*J16+I16*H16)/F16</f>
        <v>4.5599999999999996</v>
      </c>
      <c r="H16" s="19">
        <v>438089937.30000001</v>
      </c>
      <c r="I16" s="71">
        <v>4.59</v>
      </c>
      <c r="J16" s="72">
        <v>699022947.67999995</v>
      </c>
      <c r="K16" s="69">
        <v>4.54</v>
      </c>
      <c r="L16" s="19">
        <v>289197245.38999999</v>
      </c>
      <c r="M16" s="73">
        <v>4.67</v>
      </c>
      <c r="N16" s="19">
        <v>409825702.29000002</v>
      </c>
      <c r="O16" s="71">
        <v>4.4400000000000004</v>
      </c>
      <c r="P16" s="19">
        <v>40593154.350000001</v>
      </c>
      <c r="Q16" s="71">
        <v>3.33</v>
      </c>
      <c r="R16" s="19">
        <v>20301057</v>
      </c>
      <c r="S16" s="71">
        <v>3.39</v>
      </c>
      <c r="T16" s="19">
        <f>ROUND(V16+X16+Z16,2)</f>
        <v>34802995.93</v>
      </c>
      <c r="U16" s="71">
        <f>(3.95*3086994.17+4.13*26823565.79+2.99*4892435.97)/T16</f>
        <v>3.95</v>
      </c>
      <c r="V16" s="19">
        <v>4892435.97</v>
      </c>
      <c r="W16" s="71">
        <v>2.99</v>
      </c>
      <c r="X16" s="19">
        <v>26823565.789999999</v>
      </c>
      <c r="Y16" s="71">
        <v>4.13</v>
      </c>
      <c r="Z16" s="19">
        <v>3086994.17</v>
      </c>
      <c r="AA16" s="71">
        <v>3.95</v>
      </c>
      <c r="AB16" s="66"/>
    </row>
    <row r="17" spans="1:28" s="17" customFormat="1" ht="14" x14ac:dyDescent="0.3">
      <c r="A17" s="67" t="s">
        <v>43</v>
      </c>
      <c r="B17" s="57"/>
      <c r="C17" s="75">
        <f>SUM(F17,P17,R17,T17)</f>
        <v>1941183344.8299999</v>
      </c>
      <c r="D17" s="76">
        <f>(G17*F17+Q17*P17+S17*R17+U17*T17)/C17</f>
        <v>0.77</v>
      </c>
      <c r="E17" s="76"/>
      <c r="F17" s="21">
        <f>H17+J17</f>
        <v>924289914.98000002</v>
      </c>
      <c r="G17" s="69">
        <f>(0.58*513409748.13+0.73*410880166.86)/F17</f>
        <v>0.65</v>
      </c>
      <c r="H17" s="20">
        <v>410880166.86000001</v>
      </c>
      <c r="I17" s="77">
        <v>0.73</v>
      </c>
      <c r="J17" s="78">
        <v>513409748.12</v>
      </c>
      <c r="K17" s="79">
        <v>0.57999999999999996</v>
      </c>
      <c r="L17" s="20">
        <v>264046724.47999999</v>
      </c>
      <c r="M17" s="80">
        <v>0.57999999999999996</v>
      </c>
      <c r="N17" s="20">
        <v>249363023.63999999</v>
      </c>
      <c r="O17" s="77">
        <v>0.56999999999999995</v>
      </c>
      <c r="P17" s="20">
        <v>161461899.22999999</v>
      </c>
      <c r="Q17" s="77">
        <v>0.84</v>
      </c>
      <c r="R17" s="20">
        <v>616231128.85000002</v>
      </c>
      <c r="S17" s="77">
        <v>0.83</v>
      </c>
      <c r="T17" s="19">
        <f>ROUND(V17+X17+Z17,2)</f>
        <v>239200401.77000001</v>
      </c>
      <c r="U17" s="71">
        <f>(W17*V17+Y17*X17+AA17*Z17)/T17</f>
        <v>1.04</v>
      </c>
      <c r="V17" s="20">
        <v>172892562.83000001</v>
      </c>
      <c r="W17" s="77">
        <v>1.17</v>
      </c>
      <c r="X17" s="20">
        <v>59116488.659999996</v>
      </c>
      <c r="Y17" s="77">
        <v>0.66</v>
      </c>
      <c r="Z17" s="20">
        <v>7191350.2800000003</v>
      </c>
      <c r="AA17" s="77">
        <v>0.88</v>
      </c>
      <c r="AB17" s="66"/>
    </row>
    <row r="18" spans="1:28" s="17" customFormat="1" ht="14" x14ac:dyDescent="0.3">
      <c r="A18" s="67" t="s">
        <v>44</v>
      </c>
      <c r="B18" s="57"/>
      <c r="C18" s="81">
        <f>F18+P18+R18+T18</f>
        <v>1556904.02</v>
      </c>
      <c r="D18" s="79">
        <f>(G18*F18+Q18*P18+S18*R18+U18*T18)/C18</f>
        <v>2.19</v>
      </c>
      <c r="E18" s="76"/>
      <c r="F18" s="21">
        <f>H18+J18</f>
        <v>0</v>
      </c>
      <c r="G18" s="69">
        <v>0</v>
      </c>
      <c r="H18" s="20">
        <v>0</v>
      </c>
      <c r="I18" s="77">
        <v>0</v>
      </c>
      <c r="J18" s="78">
        <v>0</v>
      </c>
      <c r="K18" s="79">
        <v>0</v>
      </c>
      <c r="L18" s="20">
        <v>0</v>
      </c>
      <c r="M18" s="80">
        <v>0</v>
      </c>
      <c r="N18" s="20">
        <v>0</v>
      </c>
      <c r="O18" s="77">
        <v>0</v>
      </c>
      <c r="P18" s="20">
        <v>0</v>
      </c>
      <c r="Q18" s="77">
        <v>0</v>
      </c>
      <c r="R18" s="20">
        <v>0</v>
      </c>
      <c r="S18" s="77">
        <v>0</v>
      </c>
      <c r="T18" s="19">
        <f>ROUND(V18+X18+Z18,2)</f>
        <v>1556904.02</v>
      </c>
      <c r="U18" s="71">
        <f>(W18*V18+Y18*X18+AA18*Z18)/T18</f>
        <v>2.19</v>
      </c>
      <c r="V18" s="20">
        <v>1556904.02</v>
      </c>
      <c r="W18" s="77">
        <v>2.19</v>
      </c>
      <c r="X18" s="20">
        <v>0</v>
      </c>
      <c r="Y18" s="77">
        <v>0</v>
      </c>
      <c r="Z18" s="20">
        <v>0</v>
      </c>
      <c r="AA18" s="77">
        <v>0</v>
      </c>
      <c r="AB18" s="66"/>
    </row>
    <row r="19" spans="1:28" s="50" customFormat="1" ht="14" x14ac:dyDescent="0.3">
      <c r="A19" s="67"/>
      <c r="C19" s="82"/>
      <c r="D19" s="76"/>
      <c r="E19" s="83"/>
      <c r="F19" s="84"/>
      <c r="G19" s="76"/>
      <c r="H19" s="85"/>
      <c r="I19" s="77"/>
      <c r="J19" s="78"/>
      <c r="K19" s="79"/>
      <c r="L19" s="20"/>
      <c r="M19" s="80"/>
      <c r="N19" s="20"/>
      <c r="O19" s="77"/>
      <c r="P19" s="20"/>
      <c r="Q19" s="77"/>
      <c r="R19" s="20"/>
      <c r="S19" s="77"/>
      <c r="T19" s="20"/>
      <c r="U19" s="77"/>
      <c r="V19" s="20"/>
      <c r="W19" s="77"/>
      <c r="X19" s="20"/>
      <c r="Y19" s="77"/>
      <c r="Z19" s="20"/>
      <c r="AA19" s="77"/>
      <c r="AB19" s="86"/>
    </row>
    <row r="20" spans="1:28" s="17" customFormat="1" ht="14" x14ac:dyDescent="0.3">
      <c r="A20" s="84" t="s">
        <v>22</v>
      </c>
      <c r="B20" s="57"/>
      <c r="C20" s="87">
        <f>SUM(C22:C27)+0.01</f>
        <v>4074150506.6700001</v>
      </c>
      <c r="D20" s="76">
        <f>(D22*C22+D23*C23+D24*C24+D25*C25+D26*C26+D27*C27)/C20</f>
        <v>4.34</v>
      </c>
      <c r="E20" s="70"/>
      <c r="F20" s="88">
        <f>SUM(F22:F26)+0.01</f>
        <v>3763078644.8899999</v>
      </c>
      <c r="G20" s="76">
        <f>(4.8*1817234243.88+3.37*903681303.08+5.03*819730376.01+3.85*20640000+3*201792721.91)/F20</f>
        <v>4.4000000000000004</v>
      </c>
      <c r="H20" s="89">
        <f>SUM(H22:H26)</f>
        <v>1586397218.4400001</v>
      </c>
      <c r="I20" s="77">
        <v>4.67</v>
      </c>
      <c r="J20" s="90">
        <f>J21+J24+J25+J26</f>
        <v>2176681426.4400001</v>
      </c>
      <c r="K20" s="76">
        <v>4.21</v>
      </c>
      <c r="L20" s="91">
        <v>722586783.14999998</v>
      </c>
      <c r="M20" s="92">
        <v>3.75</v>
      </c>
      <c r="N20" s="93">
        <v>1454094643.28</v>
      </c>
      <c r="O20" s="77">
        <v>4.4400000000000004</v>
      </c>
      <c r="P20" s="94">
        <f>SUM(P22:P27)</f>
        <v>42427139.530000001</v>
      </c>
      <c r="Q20" s="77">
        <v>5.23</v>
      </c>
      <c r="R20" s="89">
        <f>SUM(R22:R24)</f>
        <v>12500000</v>
      </c>
      <c r="S20" s="77">
        <f>S22</f>
        <v>3.06</v>
      </c>
      <c r="T20" s="89">
        <f>SUM(T22:T26)</f>
        <v>256144722.25999999</v>
      </c>
      <c r="U20" s="77">
        <f>(3.2*231819359.06+4.19*10035615.57+4.5*10346469.54+3*3943278.09)/T20</f>
        <v>3.29</v>
      </c>
      <c r="V20" s="89">
        <f>SUM(V22:V24)</f>
        <v>212080185.69999999</v>
      </c>
      <c r="W20" s="77">
        <f>W22</f>
        <v>3.06</v>
      </c>
      <c r="X20" s="94">
        <v>41353262</v>
      </c>
      <c r="Y20" s="77">
        <v>4.4000000000000004</v>
      </c>
      <c r="Z20" s="89">
        <v>2711274.56</v>
      </c>
      <c r="AA20" s="77">
        <v>4.3099999999999996</v>
      </c>
      <c r="AB20" s="66"/>
    </row>
    <row r="21" spans="1:28" s="17" customFormat="1" ht="15.75" customHeight="1" x14ac:dyDescent="0.3">
      <c r="A21" s="67" t="s">
        <v>23</v>
      </c>
      <c r="B21" s="57"/>
      <c r="C21" s="87">
        <f>C22+C23+0.01</f>
        <v>2982115440.9400001</v>
      </c>
      <c r="D21" s="76">
        <f>(D22*C22+D23*C23)/C21</f>
        <v>4.2300000000000004</v>
      </c>
      <c r="E21" s="70"/>
      <c r="F21" s="87">
        <f>F22+F23+0.01</f>
        <v>2720915546.9699998</v>
      </c>
      <c r="G21" s="76">
        <f>(G22*F22+G23*F23)/F21</f>
        <v>4.33</v>
      </c>
      <c r="H21" s="87">
        <f>H22+H23</f>
        <v>1212659546.25</v>
      </c>
      <c r="I21" s="76">
        <f>(4.54*956577246.85+4.02*256082299.4)/H21</f>
        <v>4.43</v>
      </c>
      <c r="J21" s="87">
        <f>J22+J23+0.01</f>
        <v>1508256000.72</v>
      </c>
      <c r="K21" s="76">
        <f>(K22*J22+K23*J23)/J21</f>
        <v>4.24</v>
      </c>
      <c r="L21" s="90">
        <f>L22+L23</f>
        <v>503446692.70999998</v>
      </c>
      <c r="M21" s="95">
        <f>(M22*L22+M23*L23)/L21</f>
        <v>3.57</v>
      </c>
      <c r="N21" s="88">
        <f>N22+N23</f>
        <v>1004809308</v>
      </c>
      <c r="O21" s="76">
        <f>(5.13*583389622.93+3.81*421419685.07)/N21</f>
        <v>4.58</v>
      </c>
      <c r="P21" s="88">
        <f>P22+P23</f>
        <v>6844919.3399999999</v>
      </c>
      <c r="Q21" s="76">
        <f>Q22</f>
        <v>3</v>
      </c>
      <c r="R21" s="87">
        <f>R22+R23</f>
        <v>12500000</v>
      </c>
      <c r="S21" s="76">
        <f>S22</f>
        <v>3.06</v>
      </c>
      <c r="T21" s="87">
        <f>T22+T23</f>
        <v>241854974.63</v>
      </c>
      <c r="U21" s="76">
        <f>(U22*T22+U23*T23)/T21</f>
        <v>3.24</v>
      </c>
      <c r="V21" s="87">
        <f>V22+V23</f>
        <v>212080185.69999999</v>
      </c>
      <c r="W21" s="76">
        <f>W22</f>
        <v>3.06</v>
      </c>
      <c r="X21" s="87">
        <f>X22+X23</f>
        <v>27941399.829999998</v>
      </c>
      <c r="Y21" s="76">
        <f>(4.73*18454013.35+4.23*9487386.48)/X21</f>
        <v>4.5599999999999996</v>
      </c>
      <c r="Z21" s="68">
        <f>SUM(Z22:Z23)</f>
        <v>1833389.1</v>
      </c>
      <c r="AA21" s="83">
        <f>(4.74*1285160.01+3.54*548229.09)/Z21</f>
        <v>4.38</v>
      </c>
      <c r="AB21" s="66"/>
    </row>
    <row r="22" spans="1:28" s="17" customFormat="1" ht="14" x14ac:dyDescent="0.3">
      <c r="A22" s="67" t="s">
        <v>24</v>
      </c>
      <c r="B22" s="96"/>
      <c r="C22" s="68">
        <f>F22+P22+R22+T22</f>
        <v>2068398522.28</v>
      </c>
      <c r="D22" s="83">
        <f>(G22*F22+Q22*P22+S22*R22+U22*T22)/C22</f>
        <v>4.5999999999999996</v>
      </c>
      <c r="E22" s="97"/>
      <c r="F22" s="98">
        <f>H22+J22</f>
        <v>1817234243.8800001</v>
      </c>
      <c r="G22" s="83">
        <f>(K22*J22+I22*H22)/F22</f>
        <v>4.8</v>
      </c>
      <c r="H22" s="99">
        <v>956577246.85000002</v>
      </c>
      <c r="I22" s="100">
        <v>4.54</v>
      </c>
      <c r="J22" s="98">
        <v>860656997.02999997</v>
      </c>
      <c r="K22" s="83">
        <v>5.09</v>
      </c>
      <c r="L22" s="19">
        <v>277267374.10000002</v>
      </c>
      <c r="M22" s="73">
        <v>5.01</v>
      </c>
      <c r="N22" s="19">
        <v>583389622.92999995</v>
      </c>
      <c r="O22" s="71">
        <v>5.13</v>
      </c>
      <c r="P22" s="19">
        <v>6844919.3399999999</v>
      </c>
      <c r="Q22" s="71">
        <v>3</v>
      </c>
      <c r="R22" s="19">
        <v>12500000</v>
      </c>
      <c r="S22" s="100">
        <v>3.06</v>
      </c>
      <c r="T22" s="19">
        <f>X22+Z22+V22</f>
        <v>231819359.06</v>
      </c>
      <c r="U22" s="100">
        <f>(4.74*1285160.01+4.73*18454013.35+3.06*212080185.7)/T22</f>
        <v>3.2</v>
      </c>
      <c r="V22" s="19">
        <v>212080185.69999999</v>
      </c>
      <c r="W22" s="100">
        <v>3.06</v>
      </c>
      <c r="X22" s="19">
        <v>18454013.350000001</v>
      </c>
      <c r="Y22" s="100">
        <v>4.7300000000000004</v>
      </c>
      <c r="Z22" s="19">
        <v>1285160.01</v>
      </c>
      <c r="AA22" s="100">
        <v>4.74</v>
      </c>
      <c r="AB22" s="66"/>
    </row>
    <row r="23" spans="1:28" s="17" customFormat="1" ht="14" x14ac:dyDescent="0.3">
      <c r="A23" s="67" t="s">
        <v>25</v>
      </c>
      <c r="B23" s="96"/>
      <c r="C23" s="68">
        <f>F23+P23+R23+T23</f>
        <v>913716918.64999998</v>
      </c>
      <c r="D23" s="83">
        <f>(3.54*548229.09+4.23*9487386.48+3.81*421419685.07+1.8*226179318.61+4.02*256082299.4)/C23</f>
        <v>3.38</v>
      </c>
      <c r="E23" s="97"/>
      <c r="F23" s="72">
        <f>H23+J23</f>
        <v>903681303.08000004</v>
      </c>
      <c r="G23" s="69">
        <f>(K23*J23+I23*H23)/F23</f>
        <v>3.37</v>
      </c>
      <c r="H23" s="99">
        <v>256082299.40000001</v>
      </c>
      <c r="I23" s="71">
        <v>4.0199999999999996</v>
      </c>
      <c r="J23" s="72">
        <v>647599003.67999995</v>
      </c>
      <c r="K23" s="69">
        <v>3.11</v>
      </c>
      <c r="L23" s="19">
        <v>226179318.61000001</v>
      </c>
      <c r="M23" s="73">
        <v>1.8</v>
      </c>
      <c r="N23" s="19">
        <v>421419685.06999999</v>
      </c>
      <c r="O23" s="71">
        <v>3.81</v>
      </c>
      <c r="P23" s="19">
        <v>0</v>
      </c>
      <c r="Q23" s="71">
        <v>0</v>
      </c>
      <c r="R23" s="19">
        <v>0</v>
      </c>
      <c r="S23" s="71">
        <v>0</v>
      </c>
      <c r="T23" s="19">
        <f>ROUND(V23+X23+Z23,2)</f>
        <v>10035615.57</v>
      </c>
      <c r="U23" s="71">
        <f>(3.54*548301.61+4.23*9490120.7)/T23</f>
        <v>4.1900000000000004</v>
      </c>
      <c r="V23" s="19"/>
      <c r="W23" s="71"/>
      <c r="X23" s="19">
        <v>9487386.4800000004</v>
      </c>
      <c r="Y23" s="71">
        <v>4.2300000000000004</v>
      </c>
      <c r="Z23" s="19">
        <v>548229.09</v>
      </c>
      <c r="AA23" s="71">
        <v>3.54</v>
      </c>
      <c r="AB23" s="66" t="s">
        <v>18</v>
      </c>
    </row>
    <row r="24" spans="1:28" s="17" customFormat="1" ht="14" x14ac:dyDescent="0.3">
      <c r="A24" s="67" t="s">
        <v>26</v>
      </c>
      <c r="B24" s="96"/>
      <c r="C24" s="68">
        <f>F24+P24+R24+T24-0.01</f>
        <v>859979802.90999997</v>
      </c>
      <c r="D24" s="69">
        <f>(G24*F24+Q24*P24+S24*R24+U24*T24)/C24</f>
        <v>5.07</v>
      </c>
      <c r="E24" s="97"/>
      <c r="F24" s="18">
        <f>361782426.27+457947949.74</f>
        <v>819730376.00999999</v>
      </c>
      <c r="G24" s="69">
        <f>(K24*J24+I24*H24)/F24</f>
        <v>5.03</v>
      </c>
      <c r="H24" s="19">
        <v>361782426.26999998</v>
      </c>
      <c r="I24" s="100">
        <v>5.54</v>
      </c>
      <c r="J24" s="98">
        <v>457947949.73000002</v>
      </c>
      <c r="K24" s="83">
        <v>4.63</v>
      </c>
      <c r="L24" s="19">
        <v>154537234.75</v>
      </c>
      <c r="M24" s="73">
        <v>4.53</v>
      </c>
      <c r="N24" s="19">
        <v>303410714.98000002</v>
      </c>
      <c r="O24" s="71">
        <v>4.68</v>
      </c>
      <c r="P24" s="19">
        <v>29902957.370000001</v>
      </c>
      <c r="Q24" s="71">
        <v>6.46</v>
      </c>
      <c r="R24" s="19"/>
      <c r="S24" s="100"/>
      <c r="T24" s="19">
        <f>ROUND(V24+X24+Z24,2)</f>
        <v>10346469.539999999</v>
      </c>
      <c r="U24" s="100">
        <f>(4.47*702484.61+4.5*9643984.93)/T24</f>
        <v>4.5</v>
      </c>
      <c r="V24" s="19"/>
      <c r="W24" s="100"/>
      <c r="X24" s="19">
        <v>9643984.9299999997</v>
      </c>
      <c r="Y24" s="100">
        <v>4.5</v>
      </c>
      <c r="Z24" s="19">
        <v>702484.61</v>
      </c>
      <c r="AA24" s="100">
        <v>4.47</v>
      </c>
      <c r="AB24" s="66"/>
    </row>
    <row r="25" spans="1:28" s="17" customFormat="1" ht="14" x14ac:dyDescent="0.3">
      <c r="A25" s="67" t="s">
        <v>27</v>
      </c>
      <c r="B25" s="96"/>
      <c r="C25" s="68">
        <f>F25</f>
        <v>20640000</v>
      </c>
      <c r="D25" s="83">
        <f>G25</f>
        <v>3.85</v>
      </c>
      <c r="E25" s="97"/>
      <c r="F25" s="67">
        <f>H25+J25</f>
        <v>20640000</v>
      </c>
      <c r="G25" s="83">
        <f>K25</f>
        <v>3.85</v>
      </c>
      <c r="H25" s="19"/>
      <c r="I25" s="100"/>
      <c r="J25" s="98">
        <v>20640000</v>
      </c>
      <c r="K25" s="83">
        <v>3.85</v>
      </c>
      <c r="L25" s="19">
        <v>20640000</v>
      </c>
      <c r="M25" s="73">
        <v>3.85</v>
      </c>
      <c r="N25" s="19"/>
      <c r="O25" s="71"/>
      <c r="P25" s="19"/>
      <c r="Q25" s="71"/>
      <c r="R25" s="19"/>
      <c r="S25" s="100"/>
      <c r="T25" s="19"/>
      <c r="U25" s="100"/>
      <c r="V25" s="19"/>
      <c r="W25" s="100"/>
      <c r="X25" s="19"/>
      <c r="Y25" s="100"/>
      <c r="Z25" s="19"/>
      <c r="AA25" s="100"/>
      <c r="AB25" s="66"/>
    </row>
    <row r="26" spans="1:28" s="17" customFormat="1" ht="14" x14ac:dyDescent="0.3">
      <c r="A26" s="67" t="s">
        <v>28</v>
      </c>
      <c r="B26" s="96"/>
      <c r="C26" s="68">
        <f>F26+P26+R26+T26</f>
        <v>205736000</v>
      </c>
      <c r="D26" s="83">
        <f>(G26*F26+Q26*P26+S26*R26+U26*T26)/C26</f>
        <v>3</v>
      </c>
      <c r="E26" s="97"/>
      <c r="F26" s="67">
        <f>H26+J26</f>
        <v>201792721.91</v>
      </c>
      <c r="G26" s="83">
        <f>(K26*J26+I26*H26)/F26</f>
        <v>3</v>
      </c>
      <c r="H26" s="19">
        <v>11955245.92</v>
      </c>
      <c r="I26" s="100">
        <v>3</v>
      </c>
      <c r="J26" s="98">
        <v>189837475.99000001</v>
      </c>
      <c r="K26" s="83">
        <v>3</v>
      </c>
      <c r="L26" s="19">
        <v>43962855.689999998</v>
      </c>
      <c r="M26" s="73">
        <v>3</v>
      </c>
      <c r="N26" s="19">
        <v>145874620.30000001</v>
      </c>
      <c r="O26" s="71">
        <v>3</v>
      </c>
      <c r="P26" s="19"/>
      <c r="Q26" s="71"/>
      <c r="R26" s="19"/>
      <c r="S26" s="100"/>
      <c r="T26" s="19">
        <f>ROUND(V26+X26+Z26,2)</f>
        <v>3943278.09</v>
      </c>
      <c r="U26" s="100">
        <f>(W26*V26+Y26*X26+AA26*Z26)/T26</f>
        <v>3</v>
      </c>
      <c r="V26" s="19"/>
      <c r="W26" s="100"/>
      <c r="X26" s="19">
        <v>3767877.24</v>
      </c>
      <c r="Y26" s="100">
        <v>3</v>
      </c>
      <c r="Z26" s="19">
        <v>175400.85</v>
      </c>
      <c r="AA26" s="100">
        <v>3</v>
      </c>
      <c r="AB26" s="66"/>
    </row>
    <row r="27" spans="1:28" s="17" customFormat="1" ht="14" x14ac:dyDescent="0.3">
      <c r="A27" s="67" t="s">
        <v>29</v>
      </c>
      <c r="B27" s="96"/>
      <c r="C27" s="68">
        <f>F27+P27+R27+T27</f>
        <v>5679262.8200000003</v>
      </c>
      <c r="D27" s="83">
        <f>(G27*F27+Q27*P27+S27*R27+U27*T27)/C27</f>
        <v>1.46</v>
      </c>
      <c r="E27" s="97"/>
      <c r="F27" s="67"/>
      <c r="G27" s="83"/>
      <c r="H27" s="19"/>
      <c r="I27" s="100"/>
      <c r="J27" s="98"/>
      <c r="K27" s="83"/>
      <c r="L27" s="19"/>
      <c r="M27" s="73"/>
      <c r="N27" s="19"/>
      <c r="O27" s="71"/>
      <c r="P27" s="19">
        <v>5679262.8200000003</v>
      </c>
      <c r="Q27" s="71">
        <v>1.46</v>
      </c>
      <c r="R27" s="19"/>
      <c r="S27" s="100"/>
      <c r="T27" s="19"/>
      <c r="U27" s="100"/>
      <c r="V27" s="19"/>
      <c r="W27" s="100"/>
      <c r="X27" s="19"/>
      <c r="Y27" s="100"/>
      <c r="Z27" s="19"/>
      <c r="AA27" s="100"/>
      <c r="AB27" s="66"/>
    </row>
    <row r="28" spans="1:28" s="17" customFormat="1" ht="14" x14ac:dyDescent="0.3">
      <c r="A28" s="67"/>
      <c r="B28" s="96"/>
      <c r="C28" s="68"/>
      <c r="D28" s="83"/>
      <c r="E28" s="97"/>
      <c r="F28" s="67"/>
      <c r="G28" s="101"/>
      <c r="H28" s="19"/>
      <c r="I28" s="100"/>
      <c r="J28" s="98"/>
      <c r="K28" s="83"/>
      <c r="L28" s="19"/>
      <c r="M28" s="73"/>
      <c r="N28" s="19"/>
      <c r="O28" s="71"/>
      <c r="P28" s="19"/>
      <c r="Q28" s="71"/>
      <c r="R28" s="19"/>
      <c r="S28" s="100"/>
      <c r="T28" s="19"/>
      <c r="U28" s="100"/>
      <c r="V28" s="19"/>
      <c r="W28" s="100"/>
      <c r="X28" s="19"/>
      <c r="Y28" s="100"/>
      <c r="Z28" s="19"/>
      <c r="AA28" s="100"/>
      <c r="AB28" s="66"/>
    </row>
    <row r="29" spans="1:28" s="17" customFormat="1" ht="14" x14ac:dyDescent="0.3">
      <c r="A29" s="84" t="s">
        <v>30</v>
      </c>
      <c r="B29" s="57"/>
      <c r="C29" s="82">
        <f>SUM(F29,P29,R29,T29)</f>
        <v>520928574.39999998</v>
      </c>
      <c r="D29" s="76">
        <f>(5.08*194340048.63+5.22*68691046.19+4.83*257897479.58)/C29</f>
        <v>4.97</v>
      </c>
      <c r="E29" s="70"/>
      <c r="F29" s="84">
        <f>H29+J29</f>
        <v>520928574.39999998</v>
      </c>
      <c r="G29" s="76">
        <f>(K29*J29+I29*H29)/F29</f>
        <v>4.9800000000000004</v>
      </c>
      <c r="H29" s="85">
        <v>257897479.58000001</v>
      </c>
      <c r="I29" s="77">
        <v>4.83</v>
      </c>
      <c r="J29" s="102">
        <v>263031094.81999999</v>
      </c>
      <c r="K29" s="76">
        <v>5.12</v>
      </c>
      <c r="L29" s="20">
        <v>68691046.189999998</v>
      </c>
      <c r="M29" s="80">
        <v>5.22</v>
      </c>
      <c r="N29" s="85">
        <v>194340048.63</v>
      </c>
      <c r="O29" s="77">
        <v>5.08</v>
      </c>
      <c r="P29" s="20">
        <v>0</v>
      </c>
      <c r="Q29" s="77">
        <v>0</v>
      </c>
      <c r="R29" s="85">
        <v>0</v>
      </c>
      <c r="S29" s="77">
        <v>0</v>
      </c>
      <c r="T29" s="85">
        <f>ROUND(V29+X29+Z29,2)</f>
        <v>0</v>
      </c>
      <c r="U29" s="77">
        <v>0</v>
      </c>
      <c r="V29" s="85">
        <v>0</v>
      </c>
      <c r="W29" s="77">
        <v>0</v>
      </c>
      <c r="X29" s="85">
        <v>0</v>
      </c>
      <c r="Y29" s="77">
        <v>0</v>
      </c>
      <c r="Z29" s="85">
        <v>0</v>
      </c>
      <c r="AA29" s="77">
        <v>0</v>
      </c>
      <c r="AB29" s="66"/>
    </row>
    <row r="30" spans="1:28" s="50" customFormat="1" ht="14" x14ac:dyDescent="0.3">
      <c r="A30" s="67"/>
      <c r="C30" s="82"/>
      <c r="D30" s="76"/>
      <c r="E30" s="83"/>
      <c r="F30" s="84"/>
      <c r="G30" s="76"/>
      <c r="H30" s="85"/>
      <c r="I30" s="77"/>
      <c r="J30" s="102"/>
      <c r="K30" s="76"/>
      <c r="L30" s="20"/>
      <c r="M30" s="80"/>
      <c r="N30" s="85"/>
      <c r="O30" s="77"/>
      <c r="P30" s="20"/>
      <c r="Q30" s="77"/>
      <c r="R30" s="85"/>
      <c r="S30" s="77"/>
      <c r="T30" s="85"/>
      <c r="U30" s="77"/>
      <c r="V30" s="85"/>
      <c r="W30" s="77"/>
      <c r="X30" s="85"/>
      <c r="Y30" s="77"/>
      <c r="Z30" s="85"/>
      <c r="AA30" s="77"/>
      <c r="AB30" s="86"/>
    </row>
    <row r="31" spans="1:28" s="17" customFormat="1" ht="14" x14ac:dyDescent="0.3">
      <c r="A31" s="84" t="s">
        <v>31</v>
      </c>
      <c r="C31" s="81">
        <f>F31+P31+R31+T31</f>
        <v>162973186.75</v>
      </c>
      <c r="D31" s="79">
        <f>(G31*F31+Q31*P31+S31*R31+U31*T31)/C31</f>
        <v>6.24</v>
      </c>
      <c r="E31" s="76"/>
      <c r="F31" s="84">
        <f>H31+J31</f>
        <v>162973186.75</v>
      </c>
      <c r="G31" s="76">
        <f>(K31*J31+I31*H31)/F31</f>
        <v>6.24</v>
      </c>
      <c r="H31" s="85">
        <v>90554582.700000003</v>
      </c>
      <c r="I31" s="77">
        <v>6.85</v>
      </c>
      <c r="J31" s="102">
        <v>72418604.049999997</v>
      </c>
      <c r="K31" s="76">
        <v>5.47</v>
      </c>
      <c r="L31" s="20">
        <v>32288355.98</v>
      </c>
      <c r="M31" s="80">
        <v>6.54</v>
      </c>
      <c r="N31" s="20">
        <v>40130248.07</v>
      </c>
      <c r="O31" s="77">
        <v>4.62</v>
      </c>
      <c r="P31" s="20">
        <v>0</v>
      </c>
      <c r="Q31" s="77">
        <v>0</v>
      </c>
      <c r="R31" s="85">
        <v>0</v>
      </c>
      <c r="S31" s="77">
        <v>0</v>
      </c>
      <c r="T31" s="85">
        <f>ROUND(V31+X31+Z31,2)</f>
        <v>0</v>
      </c>
      <c r="U31" s="77">
        <v>0</v>
      </c>
      <c r="V31" s="85">
        <v>0</v>
      </c>
      <c r="W31" s="77">
        <v>0</v>
      </c>
      <c r="X31" s="85">
        <v>0</v>
      </c>
      <c r="Y31" s="77">
        <v>0</v>
      </c>
      <c r="Z31" s="85">
        <v>0</v>
      </c>
      <c r="AA31" s="77">
        <v>0</v>
      </c>
      <c r="AB31" s="66"/>
    </row>
    <row r="32" spans="1:28" s="17" customFormat="1" ht="14" x14ac:dyDescent="0.3">
      <c r="A32" s="84"/>
      <c r="C32" s="82"/>
      <c r="D32" s="76"/>
      <c r="E32" s="76"/>
      <c r="F32" s="84"/>
      <c r="G32" s="76"/>
      <c r="H32" s="85"/>
      <c r="I32" s="77"/>
      <c r="J32" s="102"/>
      <c r="K32" s="76"/>
      <c r="L32" s="20"/>
      <c r="M32" s="80"/>
      <c r="N32" s="20"/>
      <c r="O32" s="77"/>
      <c r="P32" s="20"/>
      <c r="Q32" s="77"/>
      <c r="R32" s="85"/>
      <c r="S32" s="77"/>
      <c r="T32" s="85"/>
      <c r="U32" s="77"/>
      <c r="V32" s="85"/>
      <c r="W32" s="77"/>
      <c r="X32" s="85"/>
      <c r="Y32" s="77"/>
      <c r="Z32" s="85"/>
      <c r="AA32" s="77"/>
      <c r="AB32" s="66"/>
    </row>
    <row r="33" spans="1:28" s="17" customFormat="1" ht="14" x14ac:dyDescent="0.3">
      <c r="A33" s="84" t="s">
        <v>45</v>
      </c>
      <c r="C33" s="81">
        <f>F33+P33+R33+T33</f>
        <v>132258064.52</v>
      </c>
      <c r="D33" s="79">
        <f>(3.26*101478.68+3.26*1335925.02+3.81*82921040.72+4.35*32684860.1+3.26*15214760)/C33</f>
        <v>3.87</v>
      </c>
      <c r="E33" s="76"/>
      <c r="F33" s="21">
        <f>H33+J33</f>
        <v>130820660.81999999</v>
      </c>
      <c r="G33" s="79">
        <f>(K33*J33+I33*H33)/F33</f>
        <v>3.88</v>
      </c>
      <c r="H33" s="20">
        <v>15214760</v>
      </c>
      <c r="I33" s="77">
        <v>3.26</v>
      </c>
      <c r="J33" s="78">
        <v>115605900.81999999</v>
      </c>
      <c r="K33" s="79">
        <v>3.96</v>
      </c>
      <c r="L33" s="20">
        <v>32684860.100000001</v>
      </c>
      <c r="M33" s="80">
        <v>4.3499999999999996</v>
      </c>
      <c r="N33" s="20">
        <v>82921040.719999999</v>
      </c>
      <c r="O33" s="77">
        <v>3.81</v>
      </c>
      <c r="P33" s="20"/>
      <c r="Q33" s="77"/>
      <c r="R33" s="20"/>
      <c r="S33" s="77"/>
      <c r="T33" s="20">
        <f>ROUND(V33+X33+Z33,2)</f>
        <v>1437403.7</v>
      </c>
      <c r="U33" s="77">
        <f>(W33*V33+Y33*X33+AA33*Z33)/T33</f>
        <v>3.26</v>
      </c>
      <c r="V33" s="20"/>
      <c r="W33" s="77"/>
      <c r="X33" s="20">
        <v>1335925.02</v>
      </c>
      <c r="Y33" s="77">
        <v>3.26</v>
      </c>
      <c r="Z33" s="20">
        <v>101478.68</v>
      </c>
      <c r="AA33" s="77">
        <v>3.26</v>
      </c>
      <c r="AB33" s="66"/>
    </row>
    <row r="34" spans="1:28" s="17" customFormat="1" ht="14" x14ac:dyDescent="0.3">
      <c r="A34" s="67"/>
      <c r="B34" s="50"/>
      <c r="C34" s="82"/>
      <c r="D34" s="76"/>
      <c r="E34" s="83"/>
      <c r="F34" s="84"/>
      <c r="G34" s="76"/>
      <c r="H34" s="85"/>
      <c r="I34" s="77"/>
      <c r="J34" s="102"/>
      <c r="K34" s="76"/>
      <c r="L34" s="20"/>
      <c r="M34" s="80"/>
      <c r="N34" s="85"/>
      <c r="O34" s="77"/>
      <c r="P34" s="20"/>
      <c r="Q34" s="77"/>
      <c r="R34" s="85"/>
      <c r="S34" s="77"/>
      <c r="T34" s="85"/>
      <c r="U34" s="77"/>
      <c r="V34" s="85"/>
      <c r="W34" s="77"/>
      <c r="X34" s="85"/>
      <c r="Y34" s="77"/>
      <c r="Z34" s="85"/>
      <c r="AA34" s="77"/>
      <c r="AB34" s="66"/>
    </row>
    <row r="35" spans="1:28" s="17" customFormat="1" ht="14" x14ac:dyDescent="0.3">
      <c r="A35" s="84" t="s">
        <v>32</v>
      </c>
      <c r="C35" s="82">
        <f>F35+P35+R35+T35</f>
        <v>30045728.379999999</v>
      </c>
      <c r="D35" s="76">
        <f>(G35*F35+Q35*P35+S35*R35+U35*T35)/C35</f>
        <v>5.0199999999999996</v>
      </c>
      <c r="E35" s="76"/>
      <c r="F35" s="84">
        <f>H35+J35</f>
        <v>30045728.379999999</v>
      </c>
      <c r="G35" s="76">
        <f>(K35*J35+I35*H35)/F35</f>
        <v>5.0199999999999996</v>
      </c>
      <c r="H35" s="85">
        <v>30045728.379999999</v>
      </c>
      <c r="I35" s="77">
        <v>5.0199999999999996</v>
      </c>
      <c r="J35" s="102"/>
      <c r="K35" s="103"/>
      <c r="L35" s="20"/>
      <c r="M35" s="80"/>
      <c r="N35" s="85"/>
      <c r="O35" s="77"/>
      <c r="P35" s="20"/>
      <c r="Q35" s="77"/>
      <c r="R35" s="85"/>
      <c r="S35" s="77"/>
      <c r="T35" s="85">
        <f>ROUND(V35+X35+Z35,2)</f>
        <v>0</v>
      </c>
      <c r="U35" s="77"/>
      <c r="V35" s="85"/>
      <c r="W35" s="77"/>
      <c r="X35" s="85"/>
      <c r="Y35" s="77"/>
      <c r="Z35" s="85"/>
      <c r="AA35" s="77"/>
      <c r="AB35" s="66"/>
    </row>
    <row r="36" spans="1:28" s="17" customFormat="1" ht="14" x14ac:dyDescent="0.3">
      <c r="A36" s="67"/>
      <c r="B36" s="50"/>
      <c r="C36" s="82"/>
      <c r="D36" s="76"/>
      <c r="E36" s="83"/>
      <c r="F36" s="84"/>
      <c r="G36" s="104"/>
      <c r="H36" s="85"/>
      <c r="I36" s="77"/>
      <c r="J36" s="102"/>
      <c r="K36" s="76"/>
      <c r="L36" s="20"/>
      <c r="M36" s="80"/>
      <c r="N36" s="85"/>
      <c r="O36" s="77"/>
      <c r="P36" s="20"/>
      <c r="Q36" s="77"/>
      <c r="R36" s="85"/>
      <c r="S36" s="77"/>
      <c r="T36" s="85"/>
      <c r="U36" s="77"/>
      <c r="V36" s="85"/>
      <c r="W36" s="77"/>
      <c r="X36" s="85"/>
      <c r="Y36" s="77"/>
      <c r="Z36" s="85"/>
      <c r="AA36" s="77"/>
      <c r="AB36" s="66"/>
    </row>
    <row r="37" spans="1:28" s="17" customFormat="1" ht="14" x14ac:dyDescent="0.3">
      <c r="A37" s="84" t="s">
        <v>33</v>
      </c>
      <c r="C37" s="82">
        <f>F37+P37+R37+T37</f>
        <v>2153106.71</v>
      </c>
      <c r="D37" s="76">
        <f>(G37*F37+Q37*P37+S37*R37+U37*T37)/C37</f>
        <v>6.78</v>
      </c>
      <c r="E37" s="76"/>
      <c r="F37" s="84">
        <f>H37+J37</f>
        <v>2153106.71</v>
      </c>
      <c r="G37" s="76">
        <f>(K37*J37+I37*H37)/F37</f>
        <v>6.78</v>
      </c>
      <c r="H37" s="85">
        <v>2153106.71</v>
      </c>
      <c r="I37" s="77">
        <v>6.78</v>
      </c>
      <c r="J37" s="102"/>
      <c r="K37" s="103"/>
      <c r="L37" s="85"/>
      <c r="M37" s="80"/>
      <c r="N37" s="85"/>
      <c r="O37" s="77"/>
      <c r="P37" s="20"/>
      <c r="Q37" s="77"/>
      <c r="R37" s="85"/>
      <c r="S37" s="77"/>
      <c r="T37" s="85">
        <f>ROUND(V37+X37+Z37,2)</f>
        <v>0</v>
      </c>
      <c r="U37" s="77"/>
      <c r="V37" s="85"/>
      <c r="W37" s="77"/>
      <c r="X37" s="85"/>
      <c r="Y37" s="77"/>
      <c r="Z37" s="85"/>
      <c r="AA37" s="77"/>
      <c r="AB37" s="66"/>
    </row>
    <row r="38" spans="1:28" s="17" customFormat="1" ht="14" x14ac:dyDescent="0.3">
      <c r="A38" s="84"/>
      <c r="C38" s="82"/>
      <c r="D38" s="76"/>
      <c r="E38" s="76"/>
      <c r="F38" s="84"/>
      <c r="G38" s="104"/>
      <c r="H38" s="85"/>
      <c r="I38" s="77"/>
      <c r="J38" s="102"/>
      <c r="K38" s="103"/>
      <c r="L38" s="85"/>
      <c r="M38" s="80"/>
      <c r="N38" s="85"/>
      <c r="O38" s="77"/>
      <c r="P38" s="20"/>
      <c r="Q38" s="77"/>
      <c r="R38" s="85"/>
      <c r="S38" s="77"/>
      <c r="T38" s="85"/>
      <c r="U38" s="77"/>
      <c r="V38" s="85"/>
      <c r="W38" s="77"/>
      <c r="X38" s="85"/>
      <c r="Y38" s="77"/>
      <c r="Z38" s="85"/>
      <c r="AA38" s="77"/>
      <c r="AB38" s="66"/>
    </row>
    <row r="39" spans="1:28" s="17" customFormat="1" ht="14" x14ac:dyDescent="0.3">
      <c r="A39" s="84" t="s">
        <v>34</v>
      </c>
      <c r="C39" s="82">
        <f>F39+P39+R39+T39</f>
        <v>39235952.729999997</v>
      </c>
      <c r="D39" s="76">
        <f>(G39*F39+Q39*P39+S39*R39+U39*T39)/C39</f>
        <v>5</v>
      </c>
      <c r="E39" s="76"/>
      <c r="F39" s="84">
        <f>H39+J39</f>
        <v>39235952.729999997</v>
      </c>
      <c r="G39" s="76">
        <f>(K39*J39+I39*H39)/F39</f>
        <v>5</v>
      </c>
      <c r="H39" s="85">
        <v>39235952.729999997</v>
      </c>
      <c r="I39" s="77">
        <v>5</v>
      </c>
      <c r="J39" s="102"/>
      <c r="K39" s="76"/>
      <c r="L39" s="85"/>
      <c r="M39" s="80"/>
      <c r="N39" s="85"/>
      <c r="O39" s="77"/>
      <c r="P39" s="20"/>
      <c r="Q39" s="77"/>
      <c r="R39" s="85"/>
      <c r="S39" s="77"/>
      <c r="T39" s="85">
        <f>ROUND(V39+X39+Z39,2)</f>
        <v>0</v>
      </c>
      <c r="U39" s="77"/>
      <c r="V39" s="85"/>
      <c r="W39" s="77"/>
      <c r="X39" s="85"/>
      <c r="Y39" s="77"/>
      <c r="Z39" s="85"/>
      <c r="AA39" s="77"/>
      <c r="AB39" s="66"/>
    </row>
    <row r="40" spans="1:28" s="17" customFormat="1" ht="14" x14ac:dyDescent="0.3">
      <c r="A40" s="84"/>
      <c r="C40" s="82"/>
      <c r="D40" s="76"/>
      <c r="E40" s="76"/>
      <c r="F40" s="84"/>
      <c r="G40" s="104"/>
      <c r="H40" s="85"/>
      <c r="I40" s="77"/>
      <c r="J40" s="102"/>
      <c r="K40" s="103"/>
      <c r="L40" s="85"/>
      <c r="M40" s="80"/>
      <c r="N40" s="85"/>
      <c r="O40" s="77"/>
      <c r="P40" s="20"/>
      <c r="Q40" s="77"/>
      <c r="R40" s="85"/>
      <c r="S40" s="77"/>
      <c r="T40" s="85"/>
      <c r="U40" s="77"/>
      <c r="V40" s="85"/>
      <c r="W40" s="77"/>
      <c r="X40" s="85"/>
      <c r="Y40" s="77"/>
      <c r="Z40" s="85"/>
      <c r="AA40" s="77"/>
      <c r="AB40" s="66"/>
    </row>
    <row r="41" spans="1:28" s="17" customFormat="1" ht="14" x14ac:dyDescent="0.3">
      <c r="A41" s="22" t="s">
        <v>46</v>
      </c>
      <c r="C41" s="82">
        <f>F41+P41+R41+T41</f>
        <v>35597355.539999999</v>
      </c>
      <c r="D41" s="76">
        <f>(G41*F41+Q41*P41+S41*R41+U41*T41)/C41</f>
        <v>5.68</v>
      </c>
      <c r="E41" s="76"/>
      <c r="F41" s="84">
        <f>H41</f>
        <v>35597355.539999999</v>
      </c>
      <c r="G41" s="76">
        <f>(K41*J41+I41*H41)/F41</f>
        <v>5.68</v>
      </c>
      <c r="H41" s="85">
        <v>35597355.539999999</v>
      </c>
      <c r="I41" s="77">
        <v>5.68</v>
      </c>
      <c r="J41" s="102"/>
      <c r="K41" s="76"/>
      <c r="L41" s="20"/>
      <c r="M41" s="80"/>
      <c r="N41" s="20"/>
      <c r="O41" s="77"/>
      <c r="P41" s="20"/>
      <c r="Q41" s="77"/>
      <c r="R41" s="20"/>
      <c r="S41" s="77"/>
      <c r="T41" s="85"/>
      <c r="U41" s="77"/>
      <c r="V41" s="85"/>
      <c r="W41" s="77"/>
      <c r="X41" s="85"/>
      <c r="Y41" s="77"/>
      <c r="Z41" s="85"/>
      <c r="AA41" s="77"/>
      <c r="AB41" s="66"/>
    </row>
    <row r="42" spans="1:28" s="17" customFormat="1" ht="14" x14ac:dyDescent="0.3">
      <c r="A42" s="105"/>
      <c r="B42" s="50"/>
      <c r="C42" s="106"/>
      <c r="D42" s="107"/>
      <c r="E42" s="108"/>
      <c r="F42" s="109"/>
      <c r="G42" s="107"/>
      <c r="H42" s="110"/>
      <c r="I42" s="111"/>
      <c r="J42" s="112"/>
      <c r="K42" s="107"/>
      <c r="L42" s="113"/>
      <c r="M42" s="114"/>
      <c r="N42" s="113"/>
      <c r="O42" s="115"/>
      <c r="P42" s="113"/>
      <c r="Q42" s="115"/>
      <c r="R42" s="113"/>
      <c r="S42" s="115"/>
      <c r="T42" s="110"/>
      <c r="U42" s="111"/>
      <c r="V42" s="110"/>
      <c r="W42" s="111"/>
      <c r="X42" s="110"/>
      <c r="Y42" s="111"/>
      <c r="Z42" s="110"/>
      <c r="AA42" s="111"/>
      <c r="AB42" s="66"/>
    </row>
    <row r="43" spans="1:28" ht="7.5" customHeight="1" x14ac:dyDescent="0.3">
      <c r="K43" s="23"/>
      <c r="L43" s="23"/>
      <c r="M43" s="23"/>
      <c r="N43" s="23"/>
      <c r="O43" s="23"/>
      <c r="P43" s="23"/>
      <c r="Q43" s="23"/>
      <c r="R43" s="23"/>
      <c r="S43" s="23"/>
    </row>
    <row r="44" spans="1:28" ht="15" hidden="1" customHeight="1" x14ac:dyDescent="0.3">
      <c r="K44" s="23"/>
      <c r="L44" s="23"/>
      <c r="M44" s="23"/>
      <c r="N44" s="23"/>
      <c r="O44" s="23"/>
      <c r="P44" s="23"/>
      <c r="Q44" s="23"/>
      <c r="R44" s="23"/>
      <c r="S44" s="23"/>
    </row>
    <row r="45" spans="1:28" s="25" customFormat="1" ht="15" customHeight="1" x14ac:dyDescent="0.3">
      <c r="A45" s="25" t="s">
        <v>47</v>
      </c>
      <c r="D45" s="116"/>
      <c r="H45" s="117"/>
      <c r="I45" s="117"/>
      <c r="J45" s="117"/>
      <c r="Q45" s="24"/>
      <c r="R45" s="24"/>
      <c r="S45" s="24"/>
      <c r="T45" s="117"/>
      <c r="U45" s="118"/>
      <c r="V45" s="117"/>
      <c r="W45" s="117"/>
      <c r="X45" s="117"/>
      <c r="Y45" s="117"/>
      <c r="Z45" s="117"/>
      <c r="AA45" s="117"/>
      <c r="AB45" s="117"/>
    </row>
    <row r="46" spans="1:28" s="25" customFormat="1" ht="15" customHeight="1" x14ac:dyDescent="0.3">
      <c r="A46" s="25" t="s">
        <v>48</v>
      </c>
      <c r="D46" s="116"/>
      <c r="H46" s="117"/>
      <c r="I46" s="117"/>
      <c r="J46" s="117"/>
      <c r="Q46" s="24"/>
      <c r="R46" s="24"/>
      <c r="S46" s="24"/>
      <c r="T46" s="117"/>
      <c r="U46" s="118"/>
      <c r="V46" s="117"/>
      <c r="W46" s="117"/>
      <c r="X46" s="117"/>
      <c r="Y46" s="117"/>
      <c r="Z46" s="117"/>
      <c r="AA46" s="117"/>
      <c r="AB46" s="117"/>
    </row>
    <row r="47" spans="1:28" s="25" customFormat="1" ht="15" customHeight="1" x14ac:dyDescent="0.3">
      <c r="D47" s="116"/>
      <c r="H47" s="117"/>
      <c r="I47" s="117"/>
      <c r="J47" s="117"/>
      <c r="Q47" s="24"/>
      <c r="R47" s="24"/>
      <c r="S47" s="24"/>
      <c r="T47" s="117"/>
      <c r="U47" s="118"/>
      <c r="V47" s="117"/>
      <c r="W47" s="117"/>
      <c r="X47" s="117"/>
      <c r="Y47" s="117"/>
      <c r="Z47" s="117"/>
      <c r="AA47" s="117"/>
      <c r="AB47" s="117"/>
    </row>
    <row r="48" spans="1:28" s="26" customFormat="1" ht="17.25" customHeight="1" x14ac:dyDescent="0.3">
      <c r="A48" s="119" t="s">
        <v>49</v>
      </c>
      <c r="C48" s="119" t="s">
        <v>50</v>
      </c>
      <c r="D48" s="119"/>
      <c r="E48" s="119"/>
      <c r="F48" s="119"/>
      <c r="G48" s="27"/>
      <c r="H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</row>
    <row r="49" spans="1:28" s="26" customFormat="1" ht="17.25" customHeight="1" x14ac:dyDescent="0.3">
      <c r="A49" s="119" t="s">
        <v>51</v>
      </c>
      <c r="C49" s="119"/>
      <c r="D49" s="119"/>
      <c r="E49" s="119"/>
      <c r="F49" s="119"/>
      <c r="G49" s="27"/>
      <c r="H49" s="27"/>
      <c r="J49" s="120"/>
      <c r="M49" s="121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</row>
    <row r="50" spans="1:28" ht="18" customHeight="1" x14ac:dyDescent="0.3">
      <c r="A50" s="1613">
        <f ca="1">TODAY()</f>
        <v>45547</v>
      </c>
      <c r="B50" s="1613"/>
      <c r="C50" s="119"/>
      <c r="D50" s="3"/>
      <c r="G50" s="122"/>
      <c r="I50" s="3"/>
      <c r="J50" s="120"/>
      <c r="K50" s="3"/>
      <c r="L50" s="120"/>
      <c r="M50" s="121"/>
      <c r="N50" s="3"/>
      <c r="AA50" s="3"/>
      <c r="AB50" s="3"/>
    </row>
    <row r="51" spans="1:28" s="26" customFormat="1" ht="14" x14ac:dyDescent="0.3">
      <c r="C51" s="123"/>
      <c r="E51" s="119"/>
      <c r="F51" s="119"/>
      <c r="G51" s="124"/>
      <c r="H51" s="124"/>
      <c r="I51" s="119"/>
      <c r="J51" s="125"/>
      <c r="L51" s="3"/>
      <c r="M51" s="121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</row>
    <row r="52" spans="1:28" s="26" customFormat="1" x14ac:dyDescent="0.3">
      <c r="A52" s="126"/>
      <c r="B52" s="126"/>
      <c r="C52" s="123"/>
      <c r="E52" s="119"/>
      <c r="F52" s="119"/>
      <c r="G52" s="124"/>
      <c r="H52" s="124"/>
      <c r="I52" s="119"/>
      <c r="J52" s="119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</row>
    <row r="53" spans="1:28" s="26" customFormat="1" ht="14" x14ac:dyDescent="0.3">
      <c r="A53" s="126"/>
      <c r="B53" s="126"/>
      <c r="C53" s="123"/>
      <c r="E53" s="119"/>
      <c r="F53" s="119"/>
      <c r="G53" s="127">
        <f>((K12*J12+I12*H12))/(J12+H12)</f>
        <v>3.95</v>
      </c>
      <c r="H53" s="124"/>
      <c r="I53" s="124"/>
      <c r="J53" s="124"/>
      <c r="K53" s="119"/>
      <c r="L53" s="119"/>
      <c r="Q53" s="27"/>
      <c r="R53" s="27"/>
      <c r="S53" s="27"/>
      <c r="T53" s="27"/>
      <c r="U53" s="27">
        <f>(429365694.78*2.13+98085501.58*2.91+8221442.4*2.84)/(V20+X20+Z20)</f>
        <v>4.7759197421739596</v>
      </c>
      <c r="V53" s="27"/>
      <c r="W53" s="27"/>
      <c r="X53" s="27"/>
      <c r="Y53" s="27"/>
      <c r="Z53" s="27"/>
      <c r="AA53" s="27"/>
      <c r="AB53" s="27"/>
    </row>
    <row r="54" spans="1:28" s="26" customFormat="1" x14ac:dyDescent="0.3">
      <c r="A54" s="126"/>
      <c r="B54" s="126"/>
      <c r="C54" s="123"/>
      <c r="E54" s="119"/>
      <c r="F54" s="119"/>
      <c r="G54" s="119"/>
      <c r="H54" s="124"/>
      <c r="I54" s="124"/>
      <c r="J54" s="124"/>
      <c r="K54" s="124"/>
      <c r="L54" s="124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</row>
    <row r="55" spans="1:28" s="26" customFormat="1" x14ac:dyDescent="0.3">
      <c r="A55" s="126"/>
      <c r="B55" s="126"/>
      <c r="C55" s="123"/>
      <c r="E55" s="119"/>
      <c r="F55" s="119"/>
      <c r="G55" s="119"/>
      <c r="H55" s="124"/>
      <c r="I55" s="124"/>
      <c r="J55" s="124"/>
      <c r="K55" s="124"/>
      <c r="L55" s="124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</row>
    <row r="56" spans="1:28" s="26" customFormat="1" x14ac:dyDescent="0.3">
      <c r="A56" s="1614"/>
      <c r="B56" s="1614"/>
      <c r="C56" s="123"/>
      <c r="E56" s="1615"/>
      <c r="F56" s="1615"/>
      <c r="G56" s="1615"/>
      <c r="H56" s="1615"/>
      <c r="I56" s="1615"/>
      <c r="J56" s="1615"/>
      <c r="K56" s="1615"/>
      <c r="L56" s="124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</row>
    <row r="57" spans="1:28" s="17" customFormat="1" ht="14" x14ac:dyDescent="0.3">
      <c r="A57" s="84" t="s">
        <v>35</v>
      </c>
      <c r="C57" s="82">
        <f>F57+P57+R57+T57</f>
        <v>80339853.409999996</v>
      </c>
      <c r="D57" s="76">
        <f>(G57*F57+Q57*P57+S57*R57+U57*T57)/C57</f>
        <v>5.73</v>
      </c>
      <c r="E57" s="76"/>
      <c r="F57" s="84">
        <f>H57+J57</f>
        <v>80339853.409999996</v>
      </c>
      <c r="G57" s="76">
        <f>(I57*H57+K57*J57)/F57</f>
        <v>5.73</v>
      </c>
      <c r="H57" s="128">
        <v>50554582.700000003</v>
      </c>
      <c r="I57" s="129">
        <v>5.68</v>
      </c>
      <c r="J57" s="128">
        <f>L57+N57</f>
        <v>29785270.710000001</v>
      </c>
      <c r="K57" s="130">
        <f>(M57*L57+O57*N57)/29785270.71</f>
        <v>5.81</v>
      </c>
      <c r="L57" s="128">
        <v>24889555.98</v>
      </c>
      <c r="M57" s="129">
        <v>5.88</v>
      </c>
      <c r="N57" s="128">
        <v>4895714.7300000004</v>
      </c>
      <c r="O57" s="129">
        <v>5.45</v>
      </c>
      <c r="P57" s="20">
        <v>0</v>
      </c>
      <c r="Q57" s="77">
        <v>0</v>
      </c>
      <c r="R57" s="85">
        <v>0</v>
      </c>
      <c r="S57" s="77">
        <v>0</v>
      </c>
      <c r="T57" s="85">
        <f>ROUND(V57+X57+Z57,2)</f>
        <v>0</v>
      </c>
      <c r="U57" s="77">
        <v>0</v>
      </c>
      <c r="V57" s="85">
        <v>0</v>
      </c>
      <c r="W57" s="77">
        <v>0</v>
      </c>
      <c r="X57" s="85">
        <v>0</v>
      </c>
      <c r="Y57" s="77">
        <v>0</v>
      </c>
      <c r="Z57" s="85">
        <v>0</v>
      </c>
      <c r="AA57" s="77">
        <v>0</v>
      </c>
      <c r="AB57" s="66"/>
    </row>
    <row r="58" spans="1:28" x14ac:dyDescent="0.3">
      <c r="A58" s="28"/>
      <c r="B58" s="28"/>
      <c r="C58" s="28"/>
      <c r="D58" s="3"/>
      <c r="E58" s="28"/>
      <c r="F58" s="28"/>
      <c r="G58" s="4"/>
      <c r="H58" s="131"/>
      <c r="I58" s="131"/>
      <c r="J58" s="34"/>
      <c r="K58" s="34"/>
      <c r="L58" s="131"/>
      <c r="M58" s="132"/>
      <c r="O58" s="132"/>
    </row>
    <row r="59" spans="1:28" s="17" customFormat="1" ht="14" x14ac:dyDescent="0.3">
      <c r="A59" s="84" t="s">
        <v>36</v>
      </c>
      <c r="C59" s="82">
        <f>F59+P59+R59+T59</f>
        <v>82633333.329999998</v>
      </c>
      <c r="D59" s="76">
        <f>(G59*F59+Q59*P59+S59*R59+U59*T59)/C59</f>
        <v>6.74</v>
      </c>
      <c r="E59" s="76"/>
      <c r="F59" s="84">
        <f>H59+J59</f>
        <v>82633333.329999998</v>
      </c>
      <c r="G59" s="76">
        <f>(I59*H59+K59*J59)/F59</f>
        <v>6.74</v>
      </c>
      <c r="H59" s="128">
        <v>40000000</v>
      </c>
      <c r="I59" s="129">
        <v>8.34</v>
      </c>
      <c r="J59" s="128">
        <f>L59+N59</f>
        <v>42633333.329999998</v>
      </c>
      <c r="K59" s="77">
        <f>(M59*L59+O59*N59)/42633333.33</f>
        <v>5.24</v>
      </c>
      <c r="L59" s="128">
        <v>7398800</v>
      </c>
      <c r="M59" s="129">
        <v>8.75</v>
      </c>
      <c r="N59" s="128">
        <v>35234533.329999998</v>
      </c>
      <c r="O59" s="129">
        <v>4.5</v>
      </c>
      <c r="P59" s="20">
        <v>0</v>
      </c>
      <c r="Q59" s="77">
        <v>0</v>
      </c>
      <c r="R59" s="85">
        <v>0</v>
      </c>
      <c r="S59" s="77">
        <v>0</v>
      </c>
      <c r="T59" s="85">
        <f>ROUND(V59+X59+Z59,2)</f>
        <v>0</v>
      </c>
      <c r="U59" s="77">
        <v>0</v>
      </c>
      <c r="V59" s="85">
        <v>0</v>
      </c>
      <c r="W59" s="77">
        <v>0</v>
      </c>
      <c r="X59" s="85">
        <v>0</v>
      </c>
      <c r="Y59" s="77">
        <v>0</v>
      </c>
      <c r="Z59" s="85">
        <v>0</v>
      </c>
      <c r="AA59" s="77">
        <v>0</v>
      </c>
      <c r="AB59" s="66"/>
    </row>
    <row r="60" spans="1:28" x14ac:dyDescent="0.3">
      <c r="I60" s="133"/>
    </row>
    <row r="62" spans="1:28" s="30" customFormat="1" ht="25" customHeight="1" x14ac:dyDescent="0.25">
      <c r="A62" s="30" t="s">
        <v>37</v>
      </c>
      <c r="C62" s="31"/>
      <c r="J62" s="32"/>
      <c r="K62" s="32"/>
      <c r="L62" s="32">
        <f>20069156.05+39624000</f>
        <v>59693156.049999997</v>
      </c>
      <c r="M62" s="32"/>
      <c r="N62" s="32"/>
      <c r="O62" s="32"/>
    </row>
    <row r="66" spans="1:15" x14ac:dyDescent="0.3">
      <c r="L66" s="132"/>
      <c r="M66" s="132"/>
    </row>
    <row r="67" spans="1:15" ht="14" x14ac:dyDescent="0.3">
      <c r="A67" s="84" t="s">
        <v>35</v>
      </c>
      <c r="C67" s="3">
        <v>80339853.409999996</v>
      </c>
      <c r="D67" s="12">
        <v>5.73</v>
      </c>
      <c r="F67" s="3">
        <v>80339853.409999996</v>
      </c>
      <c r="G67" s="3">
        <v>5.73</v>
      </c>
      <c r="H67" s="132">
        <v>50554582.700000003</v>
      </c>
      <c r="I67" s="132">
        <v>5.68</v>
      </c>
      <c r="J67" s="29">
        <v>29785270.710000001</v>
      </c>
      <c r="K67" s="29">
        <v>5.81</v>
      </c>
      <c r="L67" s="128">
        <v>24889555.98</v>
      </c>
      <c r="M67" s="129">
        <v>5.88</v>
      </c>
      <c r="N67" s="132">
        <v>4895714.7300000004</v>
      </c>
      <c r="O67" s="132">
        <v>5.45</v>
      </c>
    </row>
    <row r="68" spans="1:15" x14ac:dyDescent="0.3">
      <c r="A68" s="28"/>
      <c r="H68" s="132"/>
      <c r="I68" s="132"/>
      <c r="L68" s="132"/>
      <c r="M68" s="132"/>
      <c r="N68" s="132"/>
      <c r="O68" s="132"/>
    </row>
    <row r="69" spans="1:15" ht="14" x14ac:dyDescent="0.3">
      <c r="A69" s="84" t="s">
        <v>36</v>
      </c>
      <c r="C69" s="3">
        <v>82633333.329999998</v>
      </c>
      <c r="D69" s="12">
        <v>6.74</v>
      </c>
      <c r="F69" s="3">
        <v>82633333.329999998</v>
      </c>
      <c r="G69" s="3">
        <v>6.74</v>
      </c>
      <c r="H69" s="132">
        <v>40000000</v>
      </c>
      <c r="I69" s="132">
        <v>8.34</v>
      </c>
      <c r="J69" s="29">
        <v>42633333.329999998</v>
      </c>
      <c r="K69" s="29">
        <v>5.24</v>
      </c>
      <c r="L69" s="134">
        <v>7398800</v>
      </c>
      <c r="M69" s="131">
        <v>8.75</v>
      </c>
      <c r="N69" s="132">
        <v>35234533.329999998</v>
      </c>
      <c r="O69" s="132">
        <v>4.5</v>
      </c>
    </row>
    <row r="75" spans="1:15" x14ac:dyDescent="0.3">
      <c r="L75" s="29">
        <f>L31-L57</f>
        <v>7398800</v>
      </c>
    </row>
  </sheetData>
  <sheetProtection selectLockedCells="1" selectUnlockedCells="1"/>
  <mergeCells count="25">
    <mergeCell ref="A7:AA7"/>
    <mergeCell ref="X1:AA1"/>
    <mergeCell ref="A2:AA2"/>
    <mergeCell ref="A3:AA3"/>
    <mergeCell ref="A5:AA5"/>
    <mergeCell ref="A6:AA6"/>
    <mergeCell ref="T10:U10"/>
    <mergeCell ref="V10:W10"/>
    <mergeCell ref="X10:Y10"/>
    <mergeCell ref="Z10:AA10"/>
    <mergeCell ref="A8:AA8"/>
    <mergeCell ref="A9:A10"/>
    <mergeCell ref="C9:D10"/>
    <mergeCell ref="G9:O9"/>
    <mergeCell ref="P9:Q10"/>
    <mergeCell ref="R9:S10"/>
    <mergeCell ref="T9:AA9"/>
    <mergeCell ref="F10:G10"/>
    <mergeCell ref="H10:I10"/>
    <mergeCell ref="J10:K10"/>
    <mergeCell ref="A50:B50"/>
    <mergeCell ref="A56:B56"/>
    <mergeCell ref="E56:K56"/>
    <mergeCell ref="L10:M10"/>
    <mergeCell ref="N10:O10"/>
  </mergeCells>
  <printOptions horizontalCentered="1" verticalCentered="1"/>
  <pageMargins left="0" right="0" top="0" bottom="0" header="0.31496062992125984" footer="0.31496062992125984"/>
  <pageSetup scale="70" firstPageNumber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98"/>
  <sheetViews>
    <sheetView workbookViewId="0">
      <selection activeCell="H23" sqref="H23"/>
    </sheetView>
  </sheetViews>
  <sheetFormatPr baseColWidth="10" defaultColWidth="11.453125" defaultRowHeight="15" x14ac:dyDescent="0.3"/>
  <cols>
    <col min="1" max="1" width="11.453125" style="203"/>
    <col min="2" max="2" width="48.81640625" style="206" customWidth="1"/>
    <col min="3" max="3" width="14.26953125" style="206" customWidth="1"/>
    <col min="4" max="5" width="16.1796875" style="206" customWidth="1"/>
    <col min="6" max="6" width="22" style="206" customWidth="1"/>
    <col min="7" max="7" width="22.26953125" style="206" customWidth="1"/>
    <col min="8" max="8" width="16.81640625" style="206" customWidth="1"/>
    <col min="9" max="9" width="18.1796875" style="206" customWidth="1"/>
    <col min="10" max="10" width="21.1796875" style="207" customWidth="1"/>
    <col min="11" max="11" width="24.81640625" style="207" customWidth="1"/>
    <col min="12" max="16384" width="11.453125" style="207"/>
  </cols>
  <sheetData>
    <row r="1" spans="1:9" ht="20.25" customHeight="1" x14ac:dyDescent="0.35">
      <c r="B1" s="204"/>
      <c r="C1" s="1628" t="s">
        <v>0</v>
      </c>
      <c r="D1" s="1628"/>
      <c r="E1" s="1628"/>
      <c r="F1" s="204"/>
      <c r="G1" s="205" t="s">
        <v>90</v>
      </c>
    </row>
    <row r="2" spans="1:9" s="209" customFormat="1" ht="5.25" hidden="1" customHeight="1" x14ac:dyDescent="0.35">
      <c r="A2" s="203"/>
      <c r="B2" s="1628"/>
      <c r="C2" s="1628"/>
      <c r="D2" s="1628"/>
      <c r="E2" s="1628"/>
      <c r="F2" s="1628"/>
      <c r="G2" s="1628"/>
      <c r="H2" s="208"/>
      <c r="I2" s="208"/>
    </row>
    <row r="3" spans="1:9" s="209" customFormat="1" ht="21" customHeight="1" x14ac:dyDescent="0.35">
      <c r="A3" s="203"/>
      <c r="B3" s="1628" t="s">
        <v>91</v>
      </c>
      <c r="C3" s="1628"/>
      <c r="D3" s="1628"/>
      <c r="E3" s="1628"/>
      <c r="F3" s="1628"/>
      <c r="G3" s="1628"/>
      <c r="H3" s="208"/>
      <c r="I3" s="208"/>
    </row>
    <row r="4" spans="1:9" s="209" customFormat="1" ht="24.75" customHeight="1" x14ac:dyDescent="0.35">
      <c r="A4" s="203"/>
      <c r="B4" s="1629" t="s">
        <v>92</v>
      </c>
      <c r="C4" s="1629"/>
      <c r="D4" s="1629"/>
      <c r="E4" s="1629"/>
      <c r="F4" s="1629"/>
      <c r="G4" s="1629"/>
      <c r="H4" s="208"/>
      <c r="I4" s="208"/>
    </row>
    <row r="5" spans="1:9" s="209" customFormat="1" ht="24.75" customHeight="1" x14ac:dyDescent="0.35">
      <c r="A5" s="203"/>
      <c r="B5" s="1629" t="s">
        <v>93</v>
      </c>
      <c r="C5" s="1630"/>
      <c r="D5" s="1630"/>
      <c r="E5" s="1630"/>
      <c r="F5" s="1630"/>
      <c r="G5" s="1630"/>
      <c r="H5" s="208"/>
      <c r="I5" s="208"/>
    </row>
    <row r="6" spans="1:9" s="209" customFormat="1" ht="18.75" customHeight="1" x14ac:dyDescent="0.35">
      <c r="A6" s="203"/>
      <c r="B6" s="1627" t="s">
        <v>94</v>
      </c>
      <c r="C6" s="1627"/>
      <c r="D6" s="1627"/>
      <c r="E6" s="1627"/>
      <c r="F6" s="1627"/>
      <c r="G6" s="1627"/>
      <c r="H6" s="208"/>
      <c r="I6" s="208"/>
    </row>
    <row r="7" spans="1:9" s="209" customFormat="1" ht="21.75" customHeight="1" x14ac:dyDescent="0.3">
      <c r="A7" s="203"/>
      <c r="B7" s="1624" t="s">
        <v>95</v>
      </c>
      <c r="C7" s="1624"/>
      <c r="D7" s="1624"/>
      <c r="E7" s="1624"/>
      <c r="F7" s="1624"/>
      <c r="G7" s="1624"/>
      <c r="H7" s="208"/>
      <c r="I7" s="208"/>
    </row>
    <row r="8" spans="1:9" s="214" customFormat="1" ht="40.5" customHeight="1" x14ac:dyDescent="0.3">
      <c r="A8" s="210"/>
      <c r="B8" s="211" t="s">
        <v>96</v>
      </c>
      <c r="C8" s="212" t="s">
        <v>97</v>
      </c>
      <c r="D8" s="1625" t="s">
        <v>98</v>
      </c>
      <c r="E8" s="1625"/>
      <c r="F8" s="212" t="s">
        <v>99</v>
      </c>
      <c r="G8" s="212" t="s">
        <v>100</v>
      </c>
      <c r="H8" s="213"/>
      <c r="I8" s="213"/>
    </row>
    <row r="9" spans="1:9" s="214" customFormat="1" ht="28.5" customHeight="1" x14ac:dyDescent="0.3">
      <c r="A9" s="210"/>
      <c r="B9" s="211" t="s">
        <v>101</v>
      </c>
      <c r="C9" s="215"/>
      <c r="D9" s="215"/>
      <c r="E9" s="215"/>
      <c r="F9" s="216">
        <f>SUM(F13+F55)</f>
        <v>77162544.010000005</v>
      </c>
      <c r="G9" s="216">
        <f>SUM(G13+G55)</f>
        <v>79476685.75</v>
      </c>
      <c r="H9" s="213"/>
      <c r="I9" s="213"/>
    </row>
    <row r="10" spans="1:9" s="209" customFormat="1" ht="27.75" hidden="1" customHeight="1" x14ac:dyDescent="0.3">
      <c r="A10" s="203"/>
      <c r="B10" s="217"/>
      <c r="C10" s="218"/>
      <c r="D10" s="219"/>
      <c r="E10" s="219"/>
      <c r="F10" s="220"/>
      <c r="G10" s="220"/>
      <c r="H10" s="208"/>
      <c r="I10" s="208"/>
    </row>
    <row r="11" spans="1:9" s="209" customFormat="1" ht="37.5" hidden="1" customHeight="1" x14ac:dyDescent="0.3">
      <c r="A11" s="203"/>
      <c r="B11" s="221"/>
      <c r="C11" s="211"/>
      <c r="D11" s="219"/>
      <c r="E11" s="219"/>
      <c r="F11" s="222"/>
      <c r="G11" s="222"/>
      <c r="H11" s="208"/>
      <c r="I11" s="208"/>
    </row>
    <row r="12" spans="1:9" s="209" customFormat="1" ht="37.5" hidden="1" customHeight="1" x14ac:dyDescent="0.3">
      <c r="A12" s="203"/>
      <c r="B12" s="221"/>
      <c r="C12" s="211"/>
      <c r="D12" s="219"/>
      <c r="E12" s="219"/>
      <c r="F12" s="222"/>
      <c r="G12" s="222"/>
      <c r="H12" s="208"/>
      <c r="I12" s="208"/>
    </row>
    <row r="13" spans="1:9" s="209" customFormat="1" ht="21" customHeight="1" x14ac:dyDescent="0.3">
      <c r="A13" s="203"/>
      <c r="B13" s="217" t="s">
        <v>102</v>
      </c>
      <c r="C13" s="218"/>
      <c r="D13" s="219"/>
      <c r="E13" s="219"/>
      <c r="F13" s="216">
        <f>SUM(F17+F24+F33+F35+F45+F49+F51+F53+F14)</f>
        <v>72877999.700000003</v>
      </c>
      <c r="G13" s="216">
        <f>SUM(G17+G24+G33+G35+G45+G49+G51+G53+G14)</f>
        <v>75037065.659999996</v>
      </c>
      <c r="H13" s="223"/>
      <c r="I13" s="224"/>
    </row>
    <row r="14" spans="1:9" s="209" customFormat="1" ht="21" hidden="1" customHeight="1" x14ac:dyDescent="0.3">
      <c r="A14" s="203"/>
      <c r="B14" s="225"/>
      <c r="C14" s="226"/>
      <c r="D14" s="219"/>
      <c r="E14" s="219"/>
      <c r="F14" s="216">
        <f>SUM(F15:F16)</f>
        <v>0</v>
      </c>
      <c r="G14" s="216">
        <f>SUM(G15:G16)</f>
        <v>0</v>
      </c>
      <c r="H14" s="223"/>
      <c r="I14" s="224"/>
    </row>
    <row r="15" spans="1:9" s="209" customFormat="1" ht="21" hidden="1" customHeight="1" x14ac:dyDescent="0.3">
      <c r="A15" s="203"/>
      <c r="B15" s="227"/>
      <c r="C15" s="228"/>
      <c r="D15" s="229"/>
      <c r="E15" s="229"/>
      <c r="F15" s="230"/>
      <c r="G15" s="231"/>
      <c r="H15" s="223"/>
      <c r="I15" s="224"/>
    </row>
    <row r="16" spans="1:9" s="209" customFormat="1" ht="21" hidden="1" customHeight="1" x14ac:dyDescent="0.3">
      <c r="A16" s="203"/>
      <c r="B16" s="227"/>
      <c r="C16" s="228"/>
      <c r="D16" s="229"/>
      <c r="E16" s="229"/>
      <c r="F16" s="230"/>
      <c r="G16" s="231"/>
      <c r="H16" s="223"/>
      <c r="I16" s="224"/>
    </row>
    <row r="17" spans="1:9" s="214" customFormat="1" ht="21" customHeight="1" x14ac:dyDescent="0.3">
      <c r="A17" s="210"/>
      <c r="B17" s="225" t="s">
        <v>103</v>
      </c>
      <c r="C17" s="226"/>
      <c r="D17" s="219"/>
      <c r="E17" s="219"/>
      <c r="F17" s="216">
        <f>SUM(F18:F23)</f>
        <v>699055.35</v>
      </c>
      <c r="G17" s="216">
        <f>SUM(G18:G23)</f>
        <v>660371.89</v>
      </c>
      <c r="H17" s="208"/>
      <c r="I17" s="232"/>
    </row>
    <row r="18" spans="1:9" s="214" customFormat="1" ht="21" customHeight="1" x14ac:dyDescent="0.3">
      <c r="A18" s="210"/>
      <c r="B18" s="227" t="s">
        <v>104</v>
      </c>
      <c r="C18" s="228">
        <v>7.125</v>
      </c>
      <c r="D18" s="229">
        <v>39841</v>
      </c>
      <c r="E18" s="229">
        <v>46051</v>
      </c>
      <c r="F18" s="230">
        <v>181170.4</v>
      </c>
      <c r="G18" s="231">
        <v>174829.44</v>
      </c>
      <c r="H18" s="208"/>
      <c r="I18" s="232"/>
    </row>
    <row r="19" spans="1:9" s="214" customFormat="1" ht="21" customHeight="1" x14ac:dyDescent="0.3">
      <c r="A19" s="210"/>
      <c r="B19" s="227" t="s">
        <v>105</v>
      </c>
      <c r="C19" s="228">
        <v>7.125</v>
      </c>
      <c r="D19" s="229">
        <v>39841</v>
      </c>
      <c r="E19" s="229">
        <v>46051</v>
      </c>
      <c r="F19" s="230">
        <v>92123.23</v>
      </c>
      <c r="G19" s="231">
        <v>88898.92</v>
      </c>
      <c r="H19" s="208"/>
      <c r="I19" s="232"/>
    </row>
    <row r="20" spans="1:9" s="214" customFormat="1" ht="21" customHeight="1" x14ac:dyDescent="0.3">
      <c r="A20" s="210"/>
      <c r="B20" s="227" t="s">
        <v>106</v>
      </c>
      <c r="C20" s="228">
        <v>7.125</v>
      </c>
      <c r="D20" s="229">
        <v>39736</v>
      </c>
      <c r="E20" s="229">
        <v>46051</v>
      </c>
      <c r="F20" s="230">
        <v>130294.44</v>
      </c>
      <c r="G20" s="231">
        <v>123779.72</v>
      </c>
      <c r="H20" s="208"/>
      <c r="I20" s="232"/>
    </row>
    <row r="21" spans="1:9" s="214" customFormat="1" ht="21" customHeight="1" x14ac:dyDescent="0.3">
      <c r="A21" s="210"/>
      <c r="B21" s="227" t="s">
        <v>107</v>
      </c>
      <c r="C21" s="228">
        <v>7.125</v>
      </c>
      <c r="D21" s="229">
        <v>39743</v>
      </c>
      <c r="E21" s="229">
        <v>46051</v>
      </c>
      <c r="F21" s="230">
        <v>137699.68</v>
      </c>
      <c r="G21" s="231">
        <v>125306.71</v>
      </c>
      <c r="H21" s="208"/>
      <c r="I21" s="232"/>
    </row>
    <row r="22" spans="1:9" s="214" customFormat="1" ht="21" customHeight="1" x14ac:dyDescent="0.3">
      <c r="A22" s="210"/>
      <c r="B22" s="227" t="s">
        <v>108</v>
      </c>
      <c r="C22" s="228">
        <v>7.125</v>
      </c>
      <c r="D22" s="229">
        <v>39742</v>
      </c>
      <c r="E22" s="229">
        <v>46051</v>
      </c>
      <c r="F22" s="230">
        <v>89307.28</v>
      </c>
      <c r="G22" s="231">
        <v>81492.899999999994</v>
      </c>
      <c r="H22" s="208"/>
      <c r="I22" s="232"/>
    </row>
    <row r="23" spans="1:9" s="214" customFormat="1" ht="21" customHeight="1" x14ac:dyDescent="0.3">
      <c r="A23" s="210"/>
      <c r="B23" s="227" t="s">
        <v>109</v>
      </c>
      <c r="C23" s="228">
        <v>7.125</v>
      </c>
      <c r="D23" s="229">
        <v>39841</v>
      </c>
      <c r="E23" s="229">
        <v>46051</v>
      </c>
      <c r="F23" s="230">
        <v>68460.320000000007</v>
      </c>
      <c r="G23" s="231">
        <v>66064.2</v>
      </c>
      <c r="H23" s="208"/>
      <c r="I23" s="232"/>
    </row>
    <row r="24" spans="1:9" s="214" customFormat="1" ht="21" customHeight="1" x14ac:dyDescent="0.3">
      <c r="A24" s="210"/>
      <c r="B24" s="225" t="s">
        <v>110</v>
      </c>
      <c r="C24" s="233"/>
      <c r="D24" s="219"/>
      <c r="E24" s="219"/>
      <c r="F24" s="216">
        <f>SUM(F25:F32)</f>
        <v>1516234.73</v>
      </c>
      <c r="G24" s="216">
        <f>SUM(G25:G32)</f>
        <v>1515465.52</v>
      </c>
      <c r="H24" s="208"/>
      <c r="I24" s="232"/>
    </row>
    <row r="25" spans="1:9" s="209" customFormat="1" ht="21" customHeight="1" x14ac:dyDescent="0.3">
      <c r="A25" s="203"/>
      <c r="B25" s="227" t="s">
        <v>111</v>
      </c>
      <c r="C25" s="234">
        <v>6.7</v>
      </c>
      <c r="D25" s="229">
        <v>39636</v>
      </c>
      <c r="E25" s="229">
        <v>49700</v>
      </c>
      <c r="F25" s="230">
        <v>560000</v>
      </c>
      <c r="G25" s="231">
        <v>569800</v>
      </c>
      <c r="H25" s="208"/>
      <c r="I25" s="232"/>
    </row>
    <row r="26" spans="1:9" s="209" customFormat="1" ht="21" customHeight="1" x14ac:dyDescent="0.3">
      <c r="A26" s="203"/>
      <c r="B26" s="227" t="s">
        <v>112</v>
      </c>
      <c r="C26" s="234">
        <v>6.7</v>
      </c>
      <c r="D26" s="229">
        <v>40218</v>
      </c>
      <c r="E26" s="229">
        <v>49700</v>
      </c>
      <c r="F26" s="230">
        <v>23845.54</v>
      </c>
      <c r="G26" s="231">
        <v>24322.45</v>
      </c>
      <c r="H26" s="208"/>
      <c r="I26" s="232"/>
    </row>
    <row r="27" spans="1:9" s="214" customFormat="1" ht="21" customHeight="1" x14ac:dyDescent="0.3">
      <c r="A27" s="210"/>
      <c r="B27" s="227" t="s">
        <v>113</v>
      </c>
      <c r="C27" s="234">
        <v>6.7</v>
      </c>
      <c r="D27" s="229">
        <v>39841</v>
      </c>
      <c r="E27" s="229">
        <v>49700</v>
      </c>
      <c r="F27" s="230">
        <v>80049.320000000007</v>
      </c>
      <c r="G27" s="231">
        <v>73245.13</v>
      </c>
      <c r="H27" s="208"/>
      <c r="I27" s="232"/>
    </row>
    <row r="28" spans="1:9" s="214" customFormat="1" ht="21" customHeight="1" x14ac:dyDescent="0.3">
      <c r="A28" s="210"/>
      <c r="B28" s="227" t="s">
        <v>114</v>
      </c>
      <c r="C28" s="234">
        <v>6.7</v>
      </c>
      <c r="D28" s="229">
        <v>39911</v>
      </c>
      <c r="E28" s="229">
        <v>49700</v>
      </c>
      <c r="F28" s="230">
        <v>159738.91</v>
      </c>
      <c r="G28" s="231">
        <v>142566.98000000001</v>
      </c>
      <c r="H28" s="208"/>
      <c r="I28" s="232"/>
    </row>
    <row r="29" spans="1:9" s="214" customFormat="1" ht="21" customHeight="1" x14ac:dyDescent="0.3">
      <c r="A29" s="210"/>
      <c r="B29" s="227" t="s">
        <v>115</v>
      </c>
      <c r="C29" s="234">
        <v>6.7</v>
      </c>
      <c r="D29" s="229">
        <v>39976</v>
      </c>
      <c r="E29" s="229">
        <v>49700</v>
      </c>
      <c r="F29" s="230">
        <v>101700.96</v>
      </c>
      <c r="G29" s="231">
        <v>101192.46</v>
      </c>
      <c r="H29" s="208"/>
      <c r="I29" s="232"/>
    </row>
    <row r="30" spans="1:9" s="214" customFormat="1" ht="21" customHeight="1" x14ac:dyDescent="0.3">
      <c r="A30" s="210"/>
      <c r="B30" s="227" t="s">
        <v>116</v>
      </c>
      <c r="C30" s="234">
        <v>6.7</v>
      </c>
      <c r="D30" s="229">
        <v>40056</v>
      </c>
      <c r="E30" s="229">
        <v>49700</v>
      </c>
      <c r="F30" s="230">
        <v>159000</v>
      </c>
      <c r="G30" s="231">
        <v>163372.5</v>
      </c>
      <c r="H30" s="208"/>
      <c r="I30" s="232"/>
    </row>
    <row r="31" spans="1:9" s="214" customFormat="1" ht="21" customHeight="1" x14ac:dyDescent="0.3">
      <c r="A31" s="210"/>
      <c r="B31" s="227" t="s">
        <v>117</v>
      </c>
      <c r="C31" s="234">
        <v>6.7</v>
      </c>
      <c r="D31" s="229">
        <v>40218</v>
      </c>
      <c r="E31" s="229">
        <v>49700</v>
      </c>
      <c r="F31" s="230">
        <v>217900</v>
      </c>
      <c r="G31" s="231">
        <v>222258</v>
      </c>
      <c r="H31" s="208"/>
      <c r="I31" s="232"/>
    </row>
    <row r="32" spans="1:9" s="214" customFormat="1" ht="21" customHeight="1" x14ac:dyDescent="0.3">
      <c r="A32" s="210"/>
      <c r="B32" s="227" t="s">
        <v>118</v>
      </c>
      <c r="C32" s="234">
        <v>6.7</v>
      </c>
      <c r="D32" s="229">
        <v>40218</v>
      </c>
      <c r="E32" s="229">
        <v>49700</v>
      </c>
      <c r="F32" s="230">
        <v>214000</v>
      </c>
      <c r="G32" s="231">
        <v>218708</v>
      </c>
      <c r="H32" s="208"/>
      <c r="I32" s="232"/>
    </row>
    <row r="33" spans="1:11" s="214" customFormat="1" ht="21" customHeight="1" x14ac:dyDescent="0.3">
      <c r="A33" s="210"/>
      <c r="B33" s="225" t="s">
        <v>119</v>
      </c>
      <c r="C33" s="233"/>
      <c r="D33" s="219"/>
      <c r="E33" s="219"/>
      <c r="F33" s="216">
        <f>SUM(F34)</f>
        <v>6597156.4000000004</v>
      </c>
      <c r="G33" s="216">
        <f>SUM(G34)</f>
        <v>7472349.8300000001</v>
      </c>
      <c r="H33" s="208"/>
      <c r="I33" s="232"/>
    </row>
    <row r="34" spans="1:11" s="214" customFormat="1" ht="21" customHeight="1" x14ac:dyDescent="0.3">
      <c r="A34" s="210"/>
      <c r="B34" s="227" t="s">
        <v>120</v>
      </c>
      <c r="C34" s="234">
        <v>4.3</v>
      </c>
      <c r="D34" s="229">
        <v>43795</v>
      </c>
      <c r="E34" s="229">
        <v>56003</v>
      </c>
      <c r="F34" s="230">
        <v>6597156.4000000004</v>
      </c>
      <c r="G34" s="231">
        <v>7472349.8300000001</v>
      </c>
      <c r="H34" s="208"/>
      <c r="I34" s="232"/>
    </row>
    <row r="35" spans="1:11" s="209" customFormat="1" ht="21" customHeight="1" x14ac:dyDescent="0.3">
      <c r="A35" s="203"/>
      <c r="B35" s="225" t="s">
        <v>121</v>
      </c>
      <c r="C35" s="226"/>
      <c r="D35" s="235"/>
      <c r="E35" s="235"/>
      <c r="F35" s="236">
        <f>SUM(F36+F38+F42)</f>
        <v>29984088.140000001</v>
      </c>
      <c r="G35" s="236">
        <f>SUM(G36+G38+G42)</f>
        <v>31304938.25</v>
      </c>
      <c r="H35" s="208"/>
      <c r="I35" s="232"/>
    </row>
    <row r="36" spans="1:11" s="209" customFormat="1" ht="21" customHeight="1" x14ac:dyDescent="0.3">
      <c r="A36" s="203"/>
      <c r="B36" s="211" t="s">
        <v>122</v>
      </c>
      <c r="C36" s="226"/>
      <c r="D36" s="235"/>
      <c r="E36" s="235"/>
      <c r="F36" s="236">
        <f>F37</f>
        <v>322137.44</v>
      </c>
      <c r="G36" s="236">
        <f>G37</f>
        <v>353545.84</v>
      </c>
      <c r="H36" s="208"/>
      <c r="I36" s="232"/>
    </row>
    <row r="37" spans="1:11" s="209" customFormat="1" ht="21" customHeight="1" x14ac:dyDescent="0.3">
      <c r="A37" s="203"/>
      <c r="B37" s="237" t="s">
        <v>123</v>
      </c>
      <c r="C37" s="234">
        <v>5.625</v>
      </c>
      <c r="D37" s="229">
        <v>41008</v>
      </c>
      <c r="E37" s="229">
        <v>44767</v>
      </c>
      <c r="F37" s="230">
        <v>322137.44</v>
      </c>
      <c r="G37" s="231">
        <v>353545.84</v>
      </c>
      <c r="H37" s="208"/>
      <c r="I37" s="208"/>
    </row>
    <row r="38" spans="1:11" s="209" customFormat="1" ht="21" customHeight="1" x14ac:dyDescent="0.3">
      <c r="A38" s="203"/>
      <c r="B38" s="211" t="s">
        <v>124</v>
      </c>
      <c r="C38" s="234"/>
      <c r="D38" s="229"/>
      <c r="E38" s="229"/>
      <c r="F38" s="222">
        <f>SUM(F39:F41)</f>
        <v>17269987.920000002</v>
      </c>
      <c r="G38" s="222">
        <f>SUM(G39:G41)</f>
        <v>18565105.52</v>
      </c>
      <c r="H38" s="208"/>
      <c r="I38" s="208"/>
    </row>
    <row r="39" spans="1:11" s="209" customFormat="1" ht="21" customHeight="1" x14ac:dyDescent="0.3">
      <c r="A39" s="203"/>
      <c r="B39" s="227" t="s">
        <v>125</v>
      </c>
      <c r="C39" s="234">
        <v>4.95</v>
      </c>
      <c r="D39" s="229">
        <v>42573</v>
      </c>
      <c r="E39" s="229">
        <v>45436</v>
      </c>
      <c r="F39" s="230">
        <v>6525729.8700000001</v>
      </c>
      <c r="G39" s="231">
        <v>7034736.7999999998</v>
      </c>
      <c r="H39" s="208"/>
      <c r="I39" s="208"/>
    </row>
    <row r="40" spans="1:11" s="209" customFormat="1" ht="21" customHeight="1" x14ac:dyDescent="0.3">
      <c r="A40" s="203"/>
      <c r="B40" s="227" t="s">
        <v>126</v>
      </c>
      <c r="C40" s="234">
        <v>4.95</v>
      </c>
      <c r="D40" s="229">
        <v>43385</v>
      </c>
      <c r="E40" s="229">
        <v>45436</v>
      </c>
      <c r="F40" s="230">
        <v>2829590.3</v>
      </c>
      <c r="G40" s="231">
        <v>3007854.49</v>
      </c>
      <c r="H40" s="208"/>
      <c r="I40" s="208"/>
    </row>
    <row r="41" spans="1:11" s="209" customFormat="1" ht="21" customHeight="1" x14ac:dyDescent="0.3">
      <c r="A41" s="203"/>
      <c r="B41" s="227" t="s">
        <v>127</v>
      </c>
      <c r="C41" s="234">
        <v>4.95</v>
      </c>
      <c r="D41" s="229">
        <v>43630</v>
      </c>
      <c r="E41" s="229">
        <v>45436</v>
      </c>
      <c r="F41" s="230">
        <v>7914667.75</v>
      </c>
      <c r="G41" s="231">
        <v>8522514.2300000004</v>
      </c>
      <c r="H41" s="208"/>
      <c r="I41" s="208"/>
    </row>
    <row r="42" spans="1:11" s="209" customFormat="1" ht="21" customHeight="1" x14ac:dyDescent="0.3">
      <c r="A42" s="203"/>
      <c r="B42" s="211" t="s">
        <v>128</v>
      </c>
      <c r="C42" s="238"/>
      <c r="D42" s="219"/>
      <c r="E42" s="219"/>
      <c r="F42" s="239">
        <f>SUM(F43:F44)</f>
        <v>12391962.779999999</v>
      </c>
      <c r="G42" s="239">
        <f>SUM(G43:G44)</f>
        <v>12386286.890000001</v>
      </c>
      <c r="H42" s="208"/>
      <c r="I42" s="208"/>
    </row>
    <row r="43" spans="1:11" s="209" customFormat="1" ht="21" customHeight="1" x14ac:dyDescent="0.3">
      <c r="A43" s="203"/>
      <c r="B43" s="240" t="s">
        <v>129</v>
      </c>
      <c r="C43" s="241">
        <v>3.3620000000000001</v>
      </c>
      <c r="D43" s="229">
        <v>44377</v>
      </c>
      <c r="E43" s="229">
        <v>48029</v>
      </c>
      <c r="F43" s="242">
        <v>10500000</v>
      </c>
      <c r="G43" s="242">
        <v>10500000</v>
      </c>
      <c r="H43" s="208"/>
      <c r="I43" s="208"/>
    </row>
    <row r="44" spans="1:11" s="209" customFormat="1" ht="21" customHeight="1" x14ac:dyDescent="0.3">
      <c r="A44" s="203"/>
      <c r="B44" s="240" t="s">
        <v>130</v>
      </c>
      <c r="C44" s="241">
        <v>3.3620000000000001</v>
      </c>
      <c r="D44" s="229">
        <v>44525</v>
      </c>
      <c r="E44" s="229">
        <v>48029</v>
      </c>
      <c r="F44" s="242">
        <v>1891962.78</v>
      </c>
      <c r="G44" s="242">
        <v>1886286.89</v>
      </c>
      <c r="H44" s="208"/>
      <c r="I44" s="208"/>
    </row>
    <row r="45" spans="1:11" s="209" customFormat="1" ht="21" customHeight="1" x14ac:dyDescent="0.3">
      <c r="A45" s="203"/>
      <c r="B45" s="225" t="s">
        <v>131</v>
      </c>
      <c r="C45" s="226"/>
      <c r="D45" s="219"/>
      <c r="E45" s="219"/>
      <c r="F45" s="236">
        <f>SUM(F46:F48)</f>
        <v>20949489.780000001</v>
      </c>
      <c r="G45" s="236">
        <f>SUM(G46:G48)</f>
        <v>20689533.27</v>
      </c>
      <c r="H45" s="208"/>
      <c r="I45" s="243"/>
      <c r="J45" s="244"/>
      <c r="K45" s="244"/>
    </row>
    <row r="46" spans="1:11" s="209" customFormat="1" ht="21" customHeight="1" x14ac:dyDescent="0.3">
      <c r="A46" s="203"/>
      <c r="B46" s="237" t="s">
        <v>132</v>
      </c>
      <c r="C46" s="245">
        <v>3</v>
      </c>
      <c r="D46" s="229">
        <v>43245</v>
      </c>
      <c r="E46" s="229">
        <v>45198</v>
      </c>
      <c r="F46" s="230">
        <v>3077019.38</v>
      </c>
      <c r="G46" s="231">
        <v>3054249.44</v>
      </c>
      <c r="H46" s="208"/>
      <c r="I46" s="208"/>
    </row>
    <row r="47" spans="1:11" s="209" customFormat="1" ht="21" customHeight="1" x14ac:dyDescent="0.3">
      <c r="A47" s="203"/>
      <c r="B47" s="237" t="s">
        <v>133</v>
      </c>
      <c r="C47" s="245">
        <v>3</v>
      </c>
      <c r="D47" s="229">
        <v>43336</v>
      </c>
      <c r="E47" s="229">
        <v>45198</v>
      </c>
      <c r="F47" s="246">
        <v>6866773.7699999996</v>
      </c>
      <c r="G47" s="247">
        <f>F47*0.9895</f>
        <v>6794672.6500000004</v>
      </c>
      <c r="H47" s="208"/>
      <c r="I47" s="208"/>
    </row>
    <row r="48" spans="1:11" s="209" customFormat="1" ht="21" customHeight="1" x14ac:dyDescent="0.3">
      <c r="A48" s="203"/>
      <c r="B48" s="237" t="s">
        <v>134</v>
      </c>
      <c r="C48" s="245">
        <v>3</v>
      </c>
      <c r="D48" s="229">
        <v>43427</v>
      </c>
      <c r="E48" s="229">
        <v>45198</v>
      </c>
      <c r="F48" s="246">
        <v>11005696.630000001</v>
      </c>
      <c r="G48" s="247">
        <v>10840611.18</v>
      </c>
      <c r="H48" s="208"/>
      <c r="I48" s="208"/>
    </row>
    <row r="49" spans="1:9" s="209" customFormat="1" ht="21" customHeight="1" x14ac:dyDescent="0.3">
      <c r="A49" s="203"/>
      <c r="B49" s="225" t="s">
        <v>135</v>
      </c>
      <c r="C49" s="226"/>
      <c r="D49" s="219"/>
      <c r="E49" s="219"/>
      <c r="F49" s="236">
        <f>SUM(F50)</f>
        <v>239183.07</v>
      </c>
      <c r="G49" s="236">
        <f>SUM(G50)</f>
        <v>238817.12</v>
      </c>
      <c r="H49" s="208"/>
      <c r="I49" s="208"/>
    </row>
    <row r="50" spans="1:9" s="209" customFormat="1" ht="21" customHeight="1" x14ac:dyDescent="0.3">
      <c r="A50" s="203"/>
      <c r="B50" s="237" t="s">
        <v>136</v>
      </c>
      <c r="C50" s="245">
        <v>3.75</v>
      </c>
      <c r="D50" s="229">
        <v>43572</v>
      </c>
      <c r="E50" s="229">
        <v>46129</v>
      </c>
      <c r="F50" s="246">
        <v>239183.07</v>
      </c>
      <c r="G50" s="247">
        <v>238817.12</v>
      </c>
      <c r="H50" s="208"/>
      <c r="I50" s="208"/>
    </row>
    <row r="51" spans="1:9" s="209" customFormat="1" ht="21" customHeight="1" x14ac:dyDescent="0.3">
      <c r="A51" s="203"/>
      <c r="B51" s="225" t="s">
        <v>137</v>
      </c>
      <c r="C51" s="226"/>
      <c r="D51" s="219"/>
      <c r="E51" s="219"/>
      <c r="F51" s="236">
        <f>SUM(F52)</f>
        <v>9124914.9900000002</v>
      </c>
      <c r="G51" s="236">
        <f>SUM(G52)</f>
        <v>9387712.5399999991</v>
      </c>
      <c r="H51" s="208"/>
      <c r="I51" s="208"/>
    </row>
    <row r="52" spans="1:9" s="209" customFormat="1" ht="21" customHeight="1" x14ac:dyDescent="0.3">
      <c r="A52" s="203"/>
      <c r="B52" s="237" t="s">
        <v>138</v>
      </c>
      <c r="C52" s="245">
        <v>2.85</v>
      </c>
      <c r="D52" s="229">
        <v>44340</v>
      </c>
      <c r="E52" s="229">
        <v>46565</v>
      </c>
      <c r="F52" s="246">
        <v>9124914.9900000002</v>
      </c>
      <c r="G52" s="247">
        <v>9387712.5399999991</v>
      </c>
      <c r="H52" s="208"/>
      <c r="I52" s="208"/>
    </row>
    <row r="53" spans="1:9" s="209" customFormat="1" ht="21" customHeight="1" x14ac:dyDescent="0.3">
      <c r="A53" s="203"/>
      <c r="B53" s="248" t="s">
        <v>139</v>
      </c>
      <c r="C53" s="226"/>
      <c r="D53" s="235"/>
      <c r="E53" s="235"/>
      <c r="F53" s="249">
        <f>SUM(F54)</f>
        <v>3767877.24</v>
      </c>
      <c r="G53" s="220">
        <f>SUM(G54)</f>
        <v>3767877.24</v>
      </c>
      <c r="H53" s="208"/>
      <c r="I53" s="208"/>
    </row>
    <row r="54" spans="1:9" s="209" customFormat="1" ht="39.75" customHeight="1" x14ac:dyDescent="0.3">
      <c r="A54" s="203"/>
      <c r="B54" s="250" t="s">
        <v>140</v>
      </c>
      <c r="C54" s="234">
        <v>3</v>
      </c>
      <c r="D54" s="229">
        <v>43712</v>
      </c>
      <c r="E54" s="229">
        <v>47365</v>
      </c>
      <c r="F54" s="230">
        <v>3767877.24</v>
      </c>
      <c r="G54" s="231">
        <v>3767877.24</v>
      </c>
      <c r="H54" s="208"/>
      <c r="I54" s="208"/>
    </row>
    <row r="55" spans="1:9" s="209" customFormat="1" ht="21" customHeight="1" x14ac:dyDescent="0.3">
      <c r="A55" s="203"/>
      <c r="B55" s="217" t="s">
        <v>141</v>
      </c>
      <c r="C55" s="218"/>
      <c r="D55" s="219"/>
      <c r="E55" s="219"/>
      <c r="F55" s="216">
        <f>SUM(F59+F66+F74+F76+F83+F85+F87+F89+F56)</f>
        <v>4284544.3099999996</v>
      </c>
      <c r="G55" s="216">
        <f>SUM(G59+G66+G74+G76+G83+G85+G87+G89+G56)</f>
        <v>4439620.09</v>
      </c>
      <c r="H55" s="208"/>
      <c r="I55" s="208"/>
    </row>
    <row r="56" spans="1:9" s="209" customFormat="1" ht="21" hidden="1" customHeight="1" x14ac:dyDescent="0.3">
      <c r="A56" s="203"/>
      <c r="B56" s="225"/>
      <c r="C56" s="226"/>
      <c r="D56" s="219"/>
      <c r="E56" s="219"/>
      <c r="F56" s="216"/>
      <c r="G56" s="216"/>
      <c r="H56" s="208"/>
      <c r="I56" s="208"/>
    </row>
    <row r="57" spans="1:9" s="209" customFormat="1" ht="21" hidden="1" customHeight="1" x14ac:dyDescent="0.3">
      <c r="A57" s="203"/>
      <c r="B57" s="227"/>
      <c r="C57" s="228"/>
      <c r="D57" s="229"/>
      <c r="E57" s="229"/>
      <c r="F57" s="230"/>
      <c r="G57" s="231"/>
      <c r="H57" s="208"/>
      <c r="I57" s="208"/>
    </row>
    <row r="58" spans="1:9" s="209" customFormat="1" ht="21" hidden="1" customHeight="1" x14ac:dyDescent="0.3">
      <c r="A58" s="203"/>
      <c r="B58" s="227"/>
      <c r="C58" s="228"/>
      <c r="D58" s="229"/>
      <c r="E58" s="229"/>
      <c r="F58" s="230"/>
      <c r="G58" s="231"/>
      <c r="H58" s="208"/>
      <c r="I58" s="208"/>
    </row>
    <row r="59" spans="1:9" ht="21" customHeight="1" x14ac:dyDescent="0.3">
      <c r="B59" s="225" t="s">
        <v>142</v>
      </c>
      <c r="C59" s="226"/>
      <c r="D59" s="219"/>
      <c r="E59" s="219"/>
      <c r="F59" s="220">
        <f>SUM(F60:F65)</f>
        <v>68609.259999999995</v>
      </c>
      <c r="G59" s="220">
        <f>SUM(G60:G65)</f>
        <v>64578.44</v>
      </c>
      <c r="H59" s="251"/>
    </row>
    <row r="60" spans="1:9" ht="21" customHeight="1" x14ac:dyDescent="0.3">
      <c r="B60" s="227" t="s">
        <v>143</v>
      </c>
      <c r="C60" s="228">
        <v>7.125</v>
      </c>
      <c r="D60" s="229">
        <v>39675</v>
      </c>
      <c r="E60" s="229">
        <v>46051</v>
      </c>
      <c r="F60" s="230">
        <v>17867.39</v>
      </c>
      <c r="G60" s="231">
        <v>16974.02</v>
      </c>
      <c r="H60" s="208"/>
    </row>
    <row r="61" spans="1:9" ht="21" customHeight="1" x14ac:dyDescent="0.3">
      <c r="B61" s="227" t="s">
        <v>144</v>
      </c>
      <c r="C61" s="228">
        <v>7.125</v>
      </c>
      <c r="D61" s="229">
        <v>39743</v>
      </c>
      <c r="E61" s="229">
        <v>46051</v>
      </c>
      <c r="F61" s="230">
        <v>14896.47</v>
      </c>
      <c r="G61" s="231">
        <v>13555.79</v>
      </c>
      <c r="H61" s="208"/>
    </row>
    <row r="62" spans="1:9" ht="21" customHeight="1" x14ac:dyDescent="0.3">
      <c r="B62" s="227" t="s">
        <v>145</v>
      </c>
      <c r="C62" s="228">
        <v>7.125</v>
      </c>
      <c r="D62" s="229">
        <v>39742</v>
      </c>
      <c r="E62" s="229">
        <v>46051</v>
      </c>
      <c r="F62" s="230">
        <v>10327.24</v>
      </c>
      <c r="G62" s="231">
        <v>9423.61</v>
      </c>
      <c r="H62" s="208"/>
    </row>
    <row r="63" spans="1:9" ht="21" customHeight="1" x14ac:dyDescent="0.3">
      <c r="B63" s="227" t="s">
        <v>146</v>
      </c>
      <c r="C63" s="228">
        <v>7.125</v>
      </c>
      <c r="D63" s="229">
        <v>39841</v>
      </c>
      <c r="E63" s="229">
        <v>46051</v>
      </c>
      <c r="F63" s="230">
        <v>3867.08</v>
      </c>
      <c r="G63" s="231">
        <v>3731.73</v>
      </c>
      <c r="H63" s="208"/>
    </row>
    <row r="64" spans="1:9" ht="21" customHeight="1" x14ac:dyDescent="0.3">
      <c r="B64" s="227" t="s">
        <v>147</v>
      </c>
      <c r="C64" s="228">
        <v>7.125</v>
      </c>
      <c r="D64" s="229">
        <v>39841</v>
      </c>
      <c r="E64" s="229">
        <v>46051</v>
      </c>
      <c r="F64" s="230">
        <v>12181.7</v>
      </c>
      <c r="G64" s="231">
        <v>11755.34</v>
      </c>
      <c r="H64" s="208"/>
    </row>
    <row r="65" spans="1:9" ht="21" customHeight="1" x14ac:dyDescent="0.3">
      <c r="B65" s="227" t="s">
        <v>148</v>
      </c>
      <c r="C65" s="228">
        <v>7.125</v>
      </c>
      <c r="D65" s="229">
        <v>39841</v>
      </c>
      <c r="E65" s="229">
        <v>46051</v>
      </c>
      <c r="F65" s="230">
        <v>9469.3799999999992</v>
      </c>
      <c r="G65" s="231">
        <v>9137.9500000000007</v>
      </c>
      <c r="H65" s="251"/>
    </row>
    <row r="66" spans="1:9" ht="21" customHeight="1" x14ac:dyDescent="0.3">
      <c r="B66" s="225" t="s">
        <v>149</v>
      </c>
      <c r="C66" s="233"/>
      <c r="D66" s="219"/>
      <c r="E66" s="219"/>
      <c r="F66" s="220">
        <f>SUM(F67:F73)</f>
        <v>100584.56</v>
      </c>
      <c r="G66" s="220">
        <f>SUM(G67:G73)</f>
        <v>99604.18</v>
      </c>
      <c r="H66" s="251"/>
    </row>
    <row r="67" spans="1:9" s="209" customFormat="1" ht="21" customHeight="1" x14ac:dyDescent="0.3">
      <c r="A67" s="203"/>
      <c r="B67" s="227" t="s">
        <v>150</v>
      </c>
      <c r="C67" s="234">
        <v>6.7</v>
      </c>
      <c r="D67" s="229">
        <v>39707</v>
      </c>
      <c r="E67" s="229">
        <v>49700</v>
      </c>
      <c r="F67" s="230">
        <v>18411.919999999998</v>
      </c>
      <c r="G67" s="231">
        <v>18780.16</v>
      </c>
      <c r="H67" s="208"/>
      <c r="I67" s="208"/>
    </row>
    <row r="68" spans="1:9" ht="21" customHeight="1" x14ac:dyDescent="0.3">
      <c r="B68" s="227" t="s">
        <v>151</v>
      </c>
      <c r="C68" s="234">
        <v>6.7</v>
      </c>
      <c r="D68" s="229">
        <v>39841</v>
      </c>
      <c r="E68" s="229">
        <v>49700</v>
      </c>
      <c r="F68" s="230">
        <v>22137.31</v>
      </c>
      <c r="G68" s="231">
        <v>20255.63</v>
      </c>
      <c r="H68" s="208"/>
    </row>
    <row r="69" spans="1:9" ht="21" customHeight="1" x14ac:dyDescent="0.3">
      <c r="B69" s="227" t="s">
        <v>152</v>
      </c>
      <c r="C69" s="234">
        <v>6.7</v>
      </c>
      <c r="D69" s="229">
        <v>39911</v>
      </c>
      <c r="E69" s="229">
        <v>49700</v>
      </c>
      <c r="F69" s="230">
        <v>4761.55</v>
      </c>
      <c r="G69" s="231">
        <v>4249.68</v>
      </c>
      <c r="H69" s="251"/>
    </row>
    <row r="70" spans="1:9" ht="21" customHeight="1" x14ac:dyDescent="0.3">
      <c r="B70" s="227" t="s">
        <v>153</v>
      </c>
      <c r="C70" s="234">
        <v>6.7</v>
      </c>
      <c r="D70" s="229">
        <v>39976</v>
      </c>
      <c r="E70" s="229">
        <v>49700</v>
      </c>
      <c r="F70" s="230">
        <v>7973.78</v>
      </c>
      <c r="G70" s="231">
        <v>7933.91</v>
      </c>
      <c r="H70" s="251"/>
    </row>
    <row r="71" spans="1:9" ht="21" customHeight="1" x14ac:dyDescent="0.3">
      <c r="B71" s="227" t="s">
        <v>154</v>
      </c>
      <c r="C71" s="234">
        <v>6.7</v>
      </c>
      <c r="D71" s="229">
        <v>40056</v>
      </c>
      <c r="E71" s="229">
        <v>49700</v>
      </c>
      <c r="F71" s="230">
        <v>14000</v>
      </c>
      <c r="G71" s="231">
        <v>14385</v>
      </c>
      <c r="H71" s="251"/>
    </row>
    <row r="72" spans="1:9" ht="21" customHeight="1" x14ac:dyDescent="0.3">
      <c r="B72" s="227" t="s">
        <v>155</v>
      </c>
      <c r="C72" s="234">
        <v>6.7</v>
      </c>
      <c r="D72" s="229">
        <v>40218</v>
      </c>
      <c r="E72" s="229">
        <v>49700</v>
      </c>
      <c r="F72" s="230">
        <v>16400</v>
      </c>
      <c r="G72" s="231">
        <v>16728</v>
      </c>
      <c r="H72" s="251"/>
    </row>
    <row r="73" spans="1:9" ht="21" customHeight="1" x14ac:dyDescent="0.3">
      <c r="B73" s="227" t="s">
        <v>156</v>
      </c>
      <c r="C73" s="234">
        <v>6.7</v>
      </c>
      <c r="D73" s="229">
        <v>40218</v>
      </c>
      <c r="E73" s="229">
        <v>49700</v>
      </c>
      <c r="F73" s="230">
        <v>16900</v>
      </c>
      <c r="G73" s="231">
        <v>17271.8</v>
      </c>
      <c r="H73" s="251"/>
    </row>
    <row r="74" spans="1:9" ht="21" customHeight="1" x14ac:dyDescent="0.3">
      <c r="B74" s="225" t="s">
        <v>119</v>
      </c>
      <c r="C74" s="233"/>
      <c r="D74" s="219"/>
      <c r="E74" s="219"/>
      <c r="F74" s="216">
        <f>SUM(F75)</f>
        <v>485608.59</v>
      </c>
      <c r="G74" s="216">
        <f>SUM(G75)</f>
        <v>550030.5</v>
      </c>
      <c r="H74" s="251"/>
    </row>
    <row r="75" spans="1:9" ht="21" customHeight="1" x14ac:dyDescent="0.3">
      <c r="B75" s="227" t="s">
        <v>120</v>
      </c>
      <c r="C75" s="234">
        <v>4.3</v>
      </c>
      <c r="D75" s="229">
        <v>43795</v>
      </c>
      <c r="E75" s="229">
        <v>56003</v>
      </c>
      <c r="F75" s="230">
        <v>485608.59</v>
      </c>
      <c r="G75" s="231">
        <v>550030.5</v>
      </c>
      <c r="H75" s="251"/>
    </row>
    <row r="76" spans="1:9" ht="21" customHeight="1" x14ac:dyDescent="0.3">
      <c r="B76" s="225" t="s">
        <v>157</v>
      </c>
      <c r="C76" s="226"/>
      <c r="D76" s="219"/>
      <c r="E76" s="219"/>
      <c r="F76" s="236">
        <f>SUM(F77:F82)</f>
        <v>2834619.45</v>
      </c>
      <c r="G76" s="236">
        <f>SUM(G77:G82)</f>
        <v>2926769.19</v>
      </c>
      <c r="H76" s="251"/>
    </row>
    <row r="77" spans="1:9" ht="21.75" customHeight="1" x14ac:dyDescent="0.3">
      <c r="B77" s="227" t="s">
        <v>158</v>
      </c>
      <c r="C77" s="234">
        <v>5.625</v>
      </c>
      <c r="D77" s="229">
        <v>41008</v>
      </c>
      <c r="E77" s="229">
        <v>44767</v>
      </c>
      <c r="F77" s="230">
        <v>24555.55</v>
      </c>
      <c r="G77" s="231">
        <v>26949.72</v>
      </c>
      <c r="H77" s="251"/>
    </row>
    <row r="78" spans="1:9" s="209" customFormat="1" ht="21" customHeight="1" x14ac:dyDescent="0.3">
      <c r="A78" s="203"/>
      <c r="B78" s="227" t="s">
        <v>125</v>
      </c>
      <c r="C78" s="234">
        <v>4.95</v>
      </c>
      <c r="D78" s="229">
        <v>42573</v>
      </c>
      <c r="E78" s="229">
        <v>45436</v>
      </c>
      <c r="F78" s="230">
        <v>513511.98</v>
      </c>
      <c r="G78" s="231">
        <v>553565.91</v>
      </c>
      <c r="H78" s="208"/>
      <c r="I78" s="208"/>
    </row>
    <row r="79" spans="1:9" s="209" customFormat="1" ht="21" customHeight="1" x14ac:dyDescent="0.3">
      <c r="A79" s="203"/>
      <c r="B79" s="227" t="s">
        <v>126</v>
      </c>
      <c r="C79" s="234">
        <v>4.95</v>
      </c>
      <c r="D79" s="229">
        <v>43385</v>
      </c>
      <c r="E79" s="229">
        <v>45436</v>
      </c>
      <c r="F79" s="230">
        <v>206678.78</v>
      </c>
      <c r="G79" s="231">
        <v>219699.54</v>
      </c>
      <c r="H79" s="208"/>
      <c r="I79" s="208"/>
    </row>
    <row r="80" spans="1:9" s="209" customFormat="1" ht="21" customHeight="1" x14ac:dyDescent="0.3">
      <c r="A80" s="203"/>
      <c r="B80" s="227" t="s">
        <v>127</v>
      </c>
      <c r="C80" s="234">
        <v>4.95</v>
      </c>
      <c r="D80" s="229">
        <v>43630</v>
      </c>
      <c r="E80" s="229">
        <v>45436</v>
      </c>
      <c r="F80" s="230">
        <v>481835.92</v>
      </c>
      <c r="G80" s="231">
        <v>518840.91</v>
      </c>
      <c r="H80" s="208"/>
      <c r="I80" s="208"/>
    </row>
    <row r="81" spans="1:9" s="209" customFormat="1" ht="21" customHeight="1" x14ac:dyDescent="0.3">
      <c r="A81" s="203"/>
      <c r="B81" s="240" t="s">
        <v>159</v>
      </c>
      <c r="C81" s="241">
        <v>3.3620000000000001</v>
      </c>
      <c r="D81" s="229">
        <v>44377</v>
      </c>
      <c r="E81" s="229">
        <v>48029</v>
      </c>
      <c r="F81" s="242">
        <v>1500000</v>
      </c>
      <c r="G81" s="242">
        <v>1500000</v>
      </c>
      <c r="H81" s="208"/>
      <c r="I81" s="208"/>
    </row>
    <row r="82" spans="1:9" s="209" customFormat="1" ht="21" customHeight="1" x14ac:dyDescent="0.3">
      <c r="A82" s="203"/>
      <c r="B82" s="240" t="s">
        <v>130</v>
      </c>
      <c r="C82" s="241">
        <v>3.3620000000000001</v>
      </c>
      <c r="D82" s="229">
        <v>44526</v>
      </c>
      <c r="E82" s="229">
        <v>48029</v>
      </c>
      <c r="F82" s="242">
        <v>108037.22</v>
      </c>
      <c r="G82" s="242">
        <v>107713.11</v>
      </c>
      <c r="H82" s="208"/>
      <c r="I82" s="208"/>
    </row>
    <row r="83" spans="1:9" s="254" customFormat="1" ht="21" customHeight="1" x14ac:dyDescent="0.3">
      <c r="A83" s="252"/>
      <c r="B83" s="225" t="s">
        <v>131</v>
      </c>
      <c r="C83" s="226"/>
      <c r="D83" s="219"/>
      <c r="E83" s="219"/>
      <c r="F83" s="236">
        <f>SUM(F84)</f>
        <v>387108.69</v>
      </c>
      <c r="G83" s="236">
        <f>SUM(G84)</f>
        <v>384244.08</v>
      </c>
      <c r="H83" s="251"/>
      <c r="I83" s="253"/>
    </row>
    <row r="84" spans="1:9" s="254" customFormat="1" ht="21" customHeight="1" x14ac:dyDescent="0.3">
      <c r="A84" s="252"/>
      <c r="B84" s="237" t="s">
        <v>132</v>
      </c>
      <c r="C84" s="245">
        <v>3</v>
      </c>
      <c r="D84" s="229">
        <v>43245</v>
      </c>
      <c r="E84" s="229">
        <v>45198</v>
      </c>
      <c r="F84" s="230">
        <v>387108.69</v>
      </c>
      <c r="G84" s="231">
        <v>384244.08</v>
      </c>
      <c r="H84" s="251"/>
      <c r="I84" s="253"/>
    </row>
    <row r="85" spans="1:9" s="254" customFormat="1" ht="21" customHeight="1" x14ac:dyDescent="0.3">
      <c r="A85" s="252"/>
      <c r="B85" s="225" t="s">
        <v>135</v>
      </c>
      <c r="C85" s="226"/>
      <c r="D85" s="219"/>
      <c r="E85" s="219"/>
      <c r="F85" s="236">
        <f>SUM(F86)</f>
        <v>10527.9</v>
      </c>
      <c r="G85" s="236">
        <f>SUM(G86)</f>
        <v>10511.79</v>
      </c>
      <c r="H85" s="251"/>
      <c r="I85" s="253"/>
    </row>
    <row r="86" spans="1:9" s="254" customFormat="1" ht="21" customHeight="1" x14ac:dyDescent="0.3">
      <c r="A86" s="252"/>
      <c r="B86" s="237" t="s">
        <v>136</v>
      </c>
      <c r="C86" s="245">
        <v>3.75</v>
      </c>
      <c r="D86" s="229">
        <v>43572</v>
      </c>
      <c r="E86" s="229">
        <v>46129</v>
      </c>
      <c r="F86" s="246">
        <v>10527.9</v>
      </c>
      <c r="G86" s="247">
        <v>10511.79</v>
      </c>
      <c r="H86" s="251"/>
      <c r="I86" s="253"/>
    </row>
    <row r="87" spans="1:9" s="254" customFormat="1" ht="21" customHeight="1" x14ac:dyDescent="0.3">
      <c r="A87" s="252"/>
      <c r="B87" s="225" t="s">
        <v>137</v>
      </c>
      <c r="C87" s="226"/>
      <c r="D87" s="219"/>
      <c r="E87" s="219"/>
      <c r="F87" s="236">
        <f>SUM(F88)</f>
        <v>222085.01</v>
      </c>
      <c r="G87" s="236">
        <f>SUM(G88)</f>
        <v>228481.06</v>
      </c>
      <c r="H87" s="251"/>
      <c r="I87" s="253"/>
    </row>
    <row r="88" spans="1:9" s="254" customFormat="1" ht="21" customHeight="1" x14ac:dyDescent="0.3">
      <c r="A88" s="252"/>
      <c r="B88" s="237" t="s">
        <v>138</v>
      </c>
      <c r="C88" s="245">
        <v>2.85</v>
      </c>
      <c r="D88" s="229">
        <v>44340</v>
      </c>
      <c r="E88" s="229">
        <v>46565</v>
      </c>
      <c r="F88" s="246">
        <v>222085.01</v>
      </c>
      <c r="G88" s="247">
        <v>228481.06</v>
      </c>
      <c r="H88" s="251"/>
      <c r="I88" s="253"/>
    </row>
    <row r="89" spans="1:9" s="257" customFormat="1" ht="21" customHeight="1" x14ac:dyDescent="0.3">
      <c r="A89" s="255"/>
      <c r="B89" s="248" t="s">
        <v>139</v>
      </c>
      <c r="C89" s="226"/>
      <c r="D89" s="235"/>
      <c r="E89" s="235"/>
      <c r="F89" s="249">
        <f>SUM(F90)</f>
        <v>175400.85</v>
      </c>
      <c r="G89" s="220">
        <f>SUM(G90)</f>
        <v>175400.85</v>
      </c>
      <c r="H89" s="256"/>
      <c r="I89" s="256"/>
    </row>
    <row r="90" spans="1:9" s="257" customFormat="1" ht="36" customHeight="1" x14ac:dyDescent="0.3">
      <c r="A90" s="255"/>
      <c r="B90" s="250" t="s">
        <v>160</v>
      </c>
      <c r="C90" s="234">
        <v>3</v>
      </c>
      <c r="D90" s="229">
        <v>43712</v>
      </c>
      <c r="E90" s="229">
        <v>47365</v>
      </c>
      <c r="F90" s="230">
        <v>175400.85</v>
      </c>
      <c r="G90" s="231">
        <v>175400.85</v>
      </c>
      <c r="H90" s="256"/>
      <c r="I90" s="256"/>
    </row>
    <row r="91" spans="1:9" ht="15.5" x14ac:dyDescent="0.35">
      <c r="B91" s="258" t="s">
        <v>161</v>
      </c>
      <c r="C91" s="258"/>
      <c r="D91" s="258"/>
      <c r="E91" s="258"/>
      <c r="F91" s="258"/>
      <c r="G91" s="258"/>
    </row>
    <row r="92" spans="1:9" ht="16.5" x14ac:dyDescent="0.35">
      <c r="B92" s="259"/>
      <c r="C92" s="258"/>
      <c r="D92" s="258"/>
      <c r="E92" s="258"/>
      <c r="F92" s="258"/>
      <c r="G92" s="258"/>
    </row>
    <row r="93" spans="1:9" ht="16.5" x14ac:dyDescent="0.35">
      <c r="B93" s="259"/>
      <c r="C93" s="258"/>
      <c r="D93" s="258"/>
      <c r="E93" s="258"/>
      <c r="F93" s="258"/>
      <c r="G93" s="258"/>
    </row>
    <row r="94" spans="1:9" ht="16.5" x14ac:dyDescent="0.35">
      <c r="B94" s="259"/>
      <c r="C94" s="258"/>
      <c r="D94" s="258"/>
      <c r="E94" s="258"/>
      <c r="F94" s="258"/>
      <c r="G94" s="258"/>
    </row>
    <row r="96" spans="1:9" x14ac:dyDescent="0.3">
      <c r="B96" s="1626" t="s">
        <v>162</v>
      </c>
      <c r="C96" s="1626"/>
      <c r="D96" s="1626"/>
      <c r="E96" s="1626" t="s">
        <v>163</v>
      </c>
      <c r="F96" s="1626"/>
      <c r="G96" s="1626"/>
    </row>
    <row r="97" spans="2:7" s="207" customFormat="1" x14ac:dyDescent="0.3">
      <c r="B97" s="1626" t="s">
        <v>164</v>
      </c>
      <c r="C97" s="1626"/>
      <c r="D97" s="1626"/>
      <c r="E97" s="1626" t="s">
        <v>165</v>
      </c>
      <c r="F97" s="1626"/>
      <c r="G97" s="1626"/>
    </row>
    <row r="98" spans="2:7" s="207" customFormat="1" ht="33" customHeight="1" x14ac:dyDescent="0.3">
      <c r="B98" s="1623" t="s">
        <v>166</v>
      </c>
      <c r="C98" s="1623"/>
      <c r="D98" s="1623"/>
      <c r="E98" s="1623" t="s">
        <v>167</v>
      </c>
      <c r="F98" s="1623"/>
      <c r="G98" s="1623"/>
    </row>
  </sheetData>
  <mergeCells count="14">
    <mergeCell ref="B6:G6"/>
    <mergeCell ref="C1:E1"/>
    <mergeCell ref="B2:G2"/>
    <mergeCell ref="B3:G3"/>
    <mergeCell ref="B4:G4"/>
    <mergeCell ref="B5:G5"/>
    <mergeCell ref="B98:D98"/>
    <mergeCell ref="E98:G98"/>
    <mergeCell ref="B7:G7"/>
    <mergeCell ref="D8:E8"/>
    <mergeCell ref="B96:D96"/>
    <mergeCell ref="E96:G96"/>
    <mergeCell ref="B97:D97"/>
    <mergeCell ref="E97:G9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62"/>
  <sheetViews>
    <sheetView workbookViewId="0">
      <selection activeCell="I23" sqref="I23"/>
    </sheetView>
  </sheetViews>
  <sheetFormatPr baseColWidth="10" defaultColWidth="11.453125" defaultRowHeight="15.5" x14ac:dyDescent="0.35"/>
  <cols>
    <col min="1" max="1" width="8.54296875" style="203" customWidth="1"/>
    <col min="2" max="2" width="42.1796875" style="294" customWidth="1"/>
    <col min="3" max="3" width="13.7265625" style="294" customWidth="1"/>
    <col min="4" max="4" width="16.26953125" style="295" customWidth="1"/>
    <col min="5" max="5" width="15" style="295" customWidth="1"/>
    <col min="6" max="6" width="20.7265625" style="294" customWidth="1"/>
    <col min="7" max="7" width="24.453125" style="294" customWidth="1"/>
    <col min="8" max="8" width="16.54296875" style="207" customWidth="1"/>
    <col min="9" max="9" width="27.1796875" style="207" customWidth="1"/>
    <col min="10" max="10" width="16.81640625" style="207" customWidth="1"/>
    <col min="11" max="11" width="23.7265625" style="207" customWidth="1"/>
    <col min="12" max="16384" width="11.453125" style="207"/>
  </cols>
  <sheetData>
    <row r="1" spans="1:7" ht="26.25" customHeight="1" x14ac:dyDescent="0.35">
      <c r="B1" s="260"/>
      <c r="C1" s="260"/>
      <c r="D1" s="261"/>
      <c r="E1" s="261"/>
      <c r="F1" s="260"/>
      <c r="G1" s="262" t="s">
        <v>168</v>
      </c>
    </row>
    <row r="2" spans="1:7" ht="20.25" customHeight="1" x14ac:dyDescent="0.35">
      <c r="B2" s="1628" t="s">
        <v>0</v>
      </c>
      <c r="C2" s="1628"/>
      <c r="D2" s="1628"/>
      <c r="E2" s="1628"/>
      <c r="F2" s="1628"/>
      <c r="G2" s="1628"/>
    </row>
    <row r="3" spans="1:7" s="209" customFormat="1" ht="5.25" hidden="1" customHeight="1" x14ac:dyDescent="0.35">
      <c r="A3" s="203"/>
      <c r="B3" s="1628"/>
      <c r="C3" s="1628"/>
      <c r="D3" s="1628"/>
      <c r="E3" s="1628"/>
      <c r="F3" s="1628"/>
      <c r="G3" s="1628"/>
    </row>
    <row r="4" spans="1:7" s="209" customFormat="1" ht="21" customHeight="1" x14ac:dyDescent="0.35">
      <c r="A4" s="203"/>
      <c r="B4" s="1628" t="s">
        <v>91</v>
      </c>
      <c r="C4" s="1628"/>
      <c r="D4" s="1628"/>
      <c r="E4" s="1628"/>
      <c r="F4" s="1628"/>
      <c r="G4" s="1628"/>
    </row>
    <row r="5" spans="1:7" s="209" customFormat="1" ht="34.9" customHeight="1" x14ac:dyDescent="0.35">
      <c r="A5" s="203"/>
      <c r="B5" s="1630" t="s">
        <v>169</v>
      </c>
      <c r="C5" s="1629"/>
      <c r="D5" s="1629"/>
      <c r="E5" s="1629"/>
      <c r="F5" s="1629"/>
      <c r="G5" s="1629"/>
    </row>
    <row r="6" spans="1:7" s="209" customFormat="1" ht="18.75" customHeight="1" x14ac:dyDescent="0.35">
      <c r="A6" s="203"/>
      <c r="B6" s="1631" t="s">
        <v>94</v>
      </c>
      <c r="C6" s="1631"/>
      <c r="D6" s="1631"/>
      <c r="E6" s="1631"/>
      <c r="F6" s="1631"/>
      <c r="G6" s="1631"/>
    </row>
    <row r="7" spans="1:7" s="209" customFormat="1" ht="16.5" customHeight="1" x14ac:dyDescent="0.3">
      <c r="A7" s="203"/>
      <c r="B7" s="1624" t="s">
        <v>95</v>
      </c>
      <c r="C7" s="1624"/>
      <c r="D7" s="1624"/>
      <c r="E7" s="1624"/>
      <c r="F7" s="1624"/>
      <c r="G7" s="1624"/>
    </row>
    <row r="8" spans="1:7" s="268" customFormat="1" ht="33.75" customHeight="1" x14ac:dyDescent="0.3">
      <c r="A8" s="263"/>
      <c r="B8" s="264" t="s">
        <v>96</v>
      </c>
      <c r="C8" s="265" t="s">
        <v>97</v>
      </c>
      <c r="D8" s="1632" t="s">
        <v>170</v>
      </c>
      <c r="E8" s="1633"/>
      <c r="F8" s="266" t="s">
        <v>99</v>
      </c>
      <c r="G8" s="267" t="s">
        <v>100</v>
      </c>
    </row>
    <row r="9" spans="1:7" s="209" customFormat="1" ht="30" customHeight="1" x14ac:dyDescent="0.3">
      <c r="A9" s="203"/>
      <c r="B9" s="269" t="s">
        <v>101</v>
      </c>
      <c r="C9" s="270"/>
      <c r="D9" s="271"/>
      <c r="E9" s="271"/>
      <c r="F9" s="272">
        <f>SUM(F16+F14+F23+F49+F56+F54+F10)</f>
        <v>837469742.36000001</v>
      </c>
      <c r="G9" s="272">
        <f>SUM(G16+G14+G23+G49+G56+G54+G10)</f>
        <v>893869717.08000004</v>
      </c>
    </row>
    <row r="10" spans="1:7" s="273" customFormat="1" ht="24.75" hidden="1" customHeight="1" x14ac:dyDescent="0.3">
      <c r="A10" s="203"/>
      <c r="B10" s="225"/>
      <c r="C10" s="226"/>
      <c r="D10" s="219"/>
      <c r="E10" s="219"/>
      <c r="F10" s="220"/>
      <c r="G10" s="220"/>
    </row>
    <row r="11" spans="1:7" s="273" customFormat="1" ht="24.75" hidden="1" customHeight="1" x14ac:dyDescent="0.3">
      <c r="A11" s="203"/>
      <c r="B11" s="241"/>
      <c r="C11" s="241"/>
      <c r="D11" s="229"/>
      <c r="E11" s="229"/>
      <c r="F11" s="230"/>
      <c r="G11" s="231"/>
    </row>
    <row r="12" spans="1:7" s="273" customFormat="1" ht="24.75" hidden="1" customHeight="1" x14ac:dyDescent="0.3">
      <c r="A12" s="203"/>
      <c r="B12" s="241"/>
      <c r="C12" s="241"/>
      <c r="D12" s="229"/>
      <c r="E12" s="229"/>
      <c r="F12" s="230"/>
      <c r="G12" s="231"/>
    </row>
    <row r="13" spans="1:7" s="273" customFormat="1" ht="24.75" hidden="1" customHeight="1" x14ac:dyDescent="0.3">
      <c r="A13" s="203"/>
      <c r="B13" s="241"/>
      <c r="C13" s="241"/>
      <c r="D13" s="229"/>
      <c r="E13" s="229"/>
      <c r="F13" s="230"/>
      <c r="G13" s="231"/>
    </row>
    <row r="14" spans="1:7" s="209" customFormat="1" ht="22.9" customHeight="1" x14ac:dyDescent="0.3">
      <c r="A14" s="203"/>
      <c r="B14" s="225" t="s">
        <v>171</v>
      </c>
      <c r="C14" s="226"/>
      <c r="D14" s="219"/>
      <c r="E14" s="219"/>
      <c r="F14" s="220">
        <f>SUM(F15)</f>
        <v>24077783.5</v>
      </c>
      <c r="G14" s="220">
        <f>SUM(G15)</f>
        <v>23974008.25</v>
      </c>
    </row>
    <row r="15" spans="1:7" s="209" customFormat="1" ht="22.9" customHeight="1" x14ac:dyDescent="0.3">
      <c r="A15" s="203"/>
      <c r="B15" s="274" t="s">
        <v>172</v>
      </c>
      <c r="C15" s="234">
        <v>4.5</v>
      </c>
      <c r="D15" s="229">
        <v>43206</v>
      </c>
      <c r="E15" s="229">
        <v>54894</v>
      </c>
      <c r="F15" s="230">
        <v>24077783.5</v>
      </c>
      <c r="G15" s="230">
        <v>23974008.25</v>
      </c>
    </row>
    <row r="16" spans="1:7" s="209" customFormat="1" ht="22.9" customHeight="1" x14ac:dyDescent="0.3">
      <c r="A16" s="203"/>
      <c r="B16" s="225" t="s">
        <v>173</v>
      </c>
      <c r="C16" s="226"/>
      <c r="D16" s="219"/>
      <c r="E16" s="219"/>
      <c r="F16" s="220">
        <f>SUM(F17:F22)</f>
        <v>136967726.88</v>
      </c>
      <c r="G16" s="220">
        <f>SUM(G17:G22)</f>
        <v>151057367.09999999</v>
      </c>
    </row>
    <row r="17" spans="1:10" s="209" customFormat="1" ht="22.9" customHeight="1" x14ac:dyDescent="0.3">
      <c r="A17" s="203"/>
      <c r="B17" s="274" t="s">
        <v>174</v>
      </c>
      <c r="C17" s="228">
        <v>5.625</v>
      </c>
      <c r="D17" s="229">
        <v>40938</v>
      </c>
      <c r="E17" s="229">
        <v>44767</v>
      </c>
      <c r="F17" s="230">
        <v>13990991.4</v>
      </c>
      <c r="G17" s="231">
        <v>15425068.02</v>
      </c>
    </row>
    <row r="18" spans="1:10" s="209" customFormat="1" ht="22.9" customHeight="1" x14ac:dyDescent="0.3">
      <c r="A18" s="203"/>
      <c r="B18" s="274" t="s">
        <v>175</v>
      </c>
      <c r="C18" s="228">
        <v>5.625</v>
      </c>
      <c r="D18" s="229">
        <v>40938</v>
      </c>
      <c r="E18" s="229">
        <v>44767</v>
      </c>
      <c r="F18" s="230">
        <v>17900000</v>
      </c>
      <c r="G18" s="231">
        <v>19734750</v>
      </c>
    </row>
    <row r="19" spans="1:10" s="209" customFormat="1" ht="22.9" customHeight="1" x14ac:dyDescent="0.3">
      <c r="A19" s="203"/>
      <c r="B19" s="274" t="s">
        <v>176</v>
      </c>
      <c r="C19" s="228">
        <v>5.625</v>
      </c>
      <c r="D19" s="229">
        <v>41008</v>
      </c>
      <c r="E19" s="229">
        <v>44767</v>
      </c>
      <c r="F19" s="230">
        <v>67580.460000000006</v>
      </c>
      <c r="G19" s="231">
        <v>74169.56</v>
      </c>
      <c r="I19" s="275"/>
    </row>
    <row r="20" spans="1:10" s="209" customFormat="1" ht="22.9" customHeight="1" x14ac:dyDescent="0.3">
      <c r="A20" s="203"/>
      <c r="B20" s="274" t="s">
        <v>177</v>
      </c>
      <c r="C20" s="228">
        <v>5.625</v>
      </c>
      <c r="D20" s="229">
        <v>41200</v>
      </c>
      <c r="E20" s="229">
        <v>44767</v>
      </c>
      <c r="F20" s="230">
        <v>6806000</v>
      </c>
      <c r="G20" s="231">
        <v>7664709</v>
      </c>
      <c r="I20" s="275"/>
    </row>
    <row r="21" spans="1:10" s="209" customFormat="1" ht="22.9" customHeight="1" x14ac:dyDescent="0.3">
      <c r="A21" s="203"/>
      <c r="B21" s="274" t="s">
        <v>178</v>
      </c>
      <c r="C21" s="228">
        <v>5.625</v>
      </c>
      <c r="D21" s="229">
        <v>41201</v>
      </c>
      <c r="E21" s="229">
        <v>44767</v>
      </c>
      <c r="F21" s="230">
        <v>5200000</v>
      </c>
      <c r="G21" s="231">
        <v>5855200</v>
      </c>
      <c r="I21" s="275"/>
    </row>
    <row r="22" spans="1:10" s="209" customFormat="1" ht="22.9" customHeight="1" x14ac:dyDescent="0.3">
      <c r="A22" s="203"/>
      <c r="B22" s="274" t="s">
        <v>179</v>
      </c>
      <c r="C22" s="228">
        <v>5.625</v>
      </c>
      <c r="D22" s="229">
        <v>43238</v>
      </c>
      <c r="E22" s="229">
        <v>44767</v>
      </c>
      <c r="F22" s="230">
        <v>93003155.019999996</v>
      </c>
      <c r="G22" s="231">
        <v>102303470.52</v>
      </c>
      <c r="I22" s="275"/>
    </row>
    <row r="23" spans="1:10" s="209" customFormat="1" ht="22.9" customHeight="1" x14ac:dyDescent="0.3">
      <c r="A23" s="203"/>
      <c r="B23" s="225" t="s">
        <v>180</v>
      </c>
      <c r="C23" s="233"/>
      <c r="D23" s="219"/>
      <c r="E23" s="219"/>
      <c r="F23" s="220">
        <f>SUM(F24:F48)</f>
        <v>542771460.96000004</v>
      </c>
      <c r="G23" s="220">
        <f>SUM(G24:G48)</f>
        <v>586031727.98000002</v>
      </c>
      <c r="I23" s="276"/>
    </row>
    <row r="24" spans="1:10" s="209" customFormat="1" ht="22.9" customHeight="1" x14ac:dyDescent="0.3">
      <c r="A24" s="203"/>
      <c r="B24" s="274" t="s">
        <v>181</v>
      </c>
      <c r="C24" s="228">
        <v>4.95</v>
      </c>
      <c r="D24" s="229">
        <v>41603</v>
      </c>
      <c r="E24" s="229">
        <v>45436</v>
      </c>
      <c r="F24" s="230">
        <v>3907000</v>
      </c>
      <c r="G24" s="231">
        <v>3828860</v>
      </c>
      <c r="I24" s="276"/>
    </row>
    <row r="25" spans="1:10" s="209" customFormat="1" ht="22.9" customHeight="1" x14ac:dyDescent="0.3">
      <c r="A25" s="203"/>
      <c r="B25" s="274" t="s">
        <v>182</v>
      </c>
      <c r="C25" s="228">
        <v>4.95</v>
      </c>
      <c r="D25" s="229">
        <v>42545</v>
      </c>
      <c r="E25" s="229">
        <v>45436</v>
      </c>
      <c r="F25" s="230">
        <v>8500000</v>
      </c>
      <c r="G25" s="231">
        <v>9048250</v>
      </c>
      <c r="I25" s="276"/>
    </row>
    <row r="26" spans="1:10" s="209" customFormat="1" ht="22.9" customHeight="1" x14ac:dyDescent="0.3">
      <c r="A26" s="203"/>
      <c r="B26" s="274" t="s">
        <v>183</v>
      </c>
      <c r="C26" s="228">
        <v>4.95</v>
      </c>
      <c r="D26" s="229">
        <v>42545</v>
      </c>
      <c r="E26" s="229">
        <v>45436</v>
      </c>
      <c r="F26" s="230">
        <v>17000000</v>
      </c>
      <c r="G26" s="231">
        <v>18071000</v>
      </c>
    </row>
    <row r="27" spans="1:10" s="209" customFormat="1" ht="22.9" customHeight="1" x14ac:dyDescent="0.3">
      <c r="A27" s="203"/>
      <c r="B27" s="274" t="s">
        <v>184</v>
      </c>
      <c r="C27" s="228">
        <v>4.95</v>
      </c>
      <c r="D27" s="229">
        <v>42545</v>
      </c>
      <c r="E27" s="229">
        <v>45436</v>
      </c>
      <c r="F27" s="230">
        <v>16000000</v>
      </c>
      <c r="G27" s="231">
        <v>16992000</v>
      </c>
    </row>
    <row r="28" spans="1:10" s="209" customFormat="1" ht="22.9" customHeight="1" x14ac:dyDescent="0.3">
      <c r="A28" s="203"/>
      <c r="B28" s="274" t="s">
        <v>185</v>
      </c>
      <c r="C28" s="228">
        <v>4.95</v>
      </c>
      <c r="D28" s="229">
        <v>42545</v>
      </c>
      <c r="E28" s="229">
        <v>45436</v>
      </c>
      <c r="F28" s="230">
        <v>3132000</v>
      </c>
      <c r="G28" s="231">
        <v>3323052</v>
      </c>
    </row>
    <row r="29" spans="1:10" s="209" customFormat="1" ht="22.9" customHeight="1" x14ac:dyDescent="0.3">
      <c r="A29" s="203"/>
      <c r="B29" s="274" t="s">
        <v>186</v>
      </c>
      <c r="C29" s="228">
        <v>4.95</v>
      </c>
      <c r="D29" s="229">
        <v>42545</v>
      </c>
      <c r="E29" s="229">
        <v>45436</v>
      </c>
      <c r="F29" s="230">
        <v>9000000</v>
      </c>
      <c r="G29" s="231">
        <v>9580500</v>
      </c>
    </row>
    <row r="30" spans="1:10" s="209" customFormat="1" ht="22.9" customHeight="1" x14ac:dyDescent="0.3">
      <c r="A30" s="203"/>
      <c r="B30" s="274" t="s">
        <v>187</v>
      </c>
      <c r="C30" s="228">
        <v>4.95</v>
      </c>
      <c r="D30" s="229">
        <v>42545</v>
      </c>
      <c r="E30" s="229">
        <v>45436</v>
      </c>
      <c r="F30" s="230">
        <v>16000000</v>
      </c>
      <c r="G30" s="231">
        <v>17008000</v>
      </c>
    </row>
    <row r="31" spans="1:10" s="209" customFormat="1" ht="22.9" customHeight="1" x14ac:dyDescent="0.3">
      <c r="A31" s="203"/>
      <c r="B31" s="274" t="s">
        <v>188</v>
      </c>
      <c r="C31" s="228">
        <v>4.95</v>
      </c>
      <c r="D31" s="229">
        <v>42545</v>
      </c>
      <c r="E31" s="229">
        <v>45436</v>
      </c>
      <c r="F31" s="230">
        <v>17000000</v>
      </c>
      <c r="G31" s="231">
        <v>18054000</v>
      </c>
      <c r="H31" s="277"/>
      <c r="I31" s="277"/>
      <c r="J31" s="277"/>
    </row>
    <row r="32" spans="1:10" s="209" customFormat="1" ht="22.9" customHeight="1" x14ac:dyDescent="0.3">
      <c r="A32" s="203"/>
      <c r="B32" s="274" t="s">
        <v>189</v>
      </c>
      <c r="C32" s="228">
        <v>4.95</v>
      </c>
      <c r="D32" s="229">
        <v>42545</v>
      </c>
      <c r="E32" s="229">
        <v>45436</v>
      </c>
      <c r="F32" s="230">
        <v>15217000</v>
      </c>
      <c r="G32" s="231">
        <v>16145237</v>
      </c>
      <c r="I32" s="277"/>
      <c r="J32" s="277"/>
    </row>
    <row r="33" spans="1:7" s="209" customFormat="1" ht="22.9" customHeight="1" x14ac:dyDescent="0.3">
      <c r="A33" s="203"/>
      <c r="B33" s="274" t="s">
        <v>190</v>
      </c>
      <c r="C33" s="228">
        <v>4.95</v>
      </c>
      <c r="D33" s="229">
        <v>42545</v>
      </c>
      <c r="E33" s="229">
        <v>45436</v>
      </c>
      <c r="F33" s="230">
        <v>8000000</v>
      </c>
      <c r="G33" s="231">
        <v>8516000</v>
      </c>
    </row>
    <row r="34" spans="1:7" s="209" customFormat="1" ht="22.9" customHeight="1" x14ac:dyDescent="0.3">
      <c r="A34" s="203"/>
      <c r="B34" s="274" t="s">
        <v>191</v>
      </c>
      <c r="C34" s="228">
        <v>4.95</v>
      </c>
      <c r="D34" s="229">
        <v>42545</v>
      </c>
      <c r="E34" s="229">
        <v>45436</v>
      </c>
      <c r="F34" s="230">
        <v>16000000</v>
      </c>
      <c r="G34" s="231">
        <v>17008000</v>
      </c>
    </row>
    <row r="35" spans="1:7" s="209" customFormat="1" ht="22.9" customHeight="1" x14ac:dyDescent="0.3">
      <c r="A35" s="203"/>
      <c r="B35" s="274" t="s">
        <v>192</v>
      </c>
      <c r="C35" s="228">
        <v>4.95</v>
      </c>
      <c r="D35" s="229">
        <v>42545</v>
      </c>
      <c r="E35" s="229">
        <v>45436</v>
      </c>
      <c r="F35" s="230">
        <v>17000000</v>
      </c>
      <c r="G35" s="231">
        <v>18054000</v>
      </c>
    </row>
    <row r="36" spans="1:7" s="209" customFormat="1" ht="22.9" customHeight="1" x14ac:dyDescent="0.3">
      <c r="A36" s="203"/>
      <c r="B36" s="274" t="s">
        <v>193</v>
      </c>
      <c r="C36" s="228">
        <v>4.95</v>
      </c>
      <c r="D36" s="229">
        <v>42545</v>
      </c>
      <c r="E36" s="229">
        <v>45436</v>
      </c>
      <c r="F36" s="230">
        <v>15217000</v>
      </c>
      <c r="G36" s="231">
        <v>16145237</v>
      </c>
    </row>
    <row r="37" spans="1:7" s="209" customFormat="1" ht="22.9" customHeight="1" x14ac:dyDescent="0.3">
      <c r="A37" s="203"/>
      <c r="B37" s="274" t="s">
        <v>194</v>
      </c>
      <c r="C37" s="228">
        <v>4.95</v>
      </c>
      <c r="D37" s="229">
        <v>42545</v>
      </c>
      <c r="E37" s="229">
        <v>45436</v>
      </c>
      <c r="F37" s="230">
        <v>8500000</v>
      </c>
      <c r="G37" s="231">
        <v>9048250</v>
      </c>
    </row>
    <row r="38" spans="1:7" s="209" customFormat="1" ht="22.9" customHeight="1" x14ac:dyDescent="0.3">
      <c r="A38" s="203"/>
      <c r="B38" s="274" t="s">
        <v>195</v>
      </c>
      <c r="C38" s="228">
        <v>4.95</v>
      </c>
      <c r="D38" s="229">
        <v>42545</v>
      </c>
      <c r="E38" s="229">
        <v>45436</v>
      </c>
      <c r="F38" s="230">
        <v>2483647.42</v>
      </c>
      <c r="G38" s="231">
        <v>2640117.21</v>
      </c>
    </row>
    <row r="39" spans="1:7" s="209" customFormat="1" ht="22.9" customHeight="1" x14ac:dyDescent="0.3">
      <c r="A39" s="203"/>
      <c r="B39" s="274" t="s">
        <v>196</v>
      </c>
      <c r="C39" s="228">
        <v>4.95</v>
      </c>
      <c r="D39" s="229">
        <v>42573</v>
      </c>
      <c r="E39" s="229">
        <v>45436</v>
      </c>
      <c r="F39" s="230">
        <v>58088009.020000003</v>
      </c>
      <c r="G39" s="231">
        <v>62618874.719999999</v>
      </c>
    </row>
    <row r="40" spans="1:7" s="209" customFormat="1" ht="22.9" customHeight="1" x14ac:dyDescent="0.3">
      <c r="A40" s="203"/>
      <c r="B40" s="274" t="s">
        <v>197</v>
      </c>
      <c r="C40" s="228">
        <v>4.95</v>
      </c>
      <c r="D40" s="229">
        <v>42657</v>
      </c>
      <c r="E40" s="229">
        <v>45436</v>
      </c>
      <c r="F40" s="230">
        <v>67065332.82</v>
      </c>
      <c r="G40" s="231">
        <v>73718213.840000004</v>
      </c>
    </row>
    <row r="41" spans="1:7" s="209" customFormat="1" ht="22.9" customHeight="1" x14ac:dyDescent="0.3">
      <c r="A41" s="203"/>
      <c r="B41" s="274" t="s">
        <v>198</v>
      </c>
      <c r="C41" s="228">
        <v>4.95</v>
      </c>
      <c r="D41" s="229">
        <v>42811</v>
      </c>
      <c r="E41" s="229">
        <v>45436</v>
      </c>
      <c r="F41" s="230">
        <v>25000000</v>
      </c>
      <c r="G41" s="231">
        <v>27075000</v>
      </c>
    </row>
    <row r="42" spans="1:7" s="209" customFormat="1" ht="22.9" customHeight="1" x14ac:dyDescent="0.3">
      <c r="A42" s="203"/>
      <c r="B42" s="274" t="s">
        <v>199</v>
      </c>
      <c r="C42" s="228">
        <v>4.95</v>
      </c>
      <c r="D42" s="229">
        <v>42811</v>
      </c>
      <c r="E42" s="229">
        <v>45436</v>
      </c>
      <c r="F42" s="230">
        <v>25000000</v>
      </c>
      <c r="G42" s="231">
        <v>27075000</v>
      </c>
    </row>
    <row r="43" spans="1:7" s="209" customFormat="1" ht="22.9" customHeight="1" x14ac:dyDescent="0.3">
      <c r="A43" s="203"/>
      <c r="B43" s="274" t="s">
        <v>200</v>
      </c>
      <c r="C43" s="228">
        <v>4.95</v>
      </c>
      <c r="D43" s="229">
        <v>42811</v>
      </c>
      <c r="E43" s="229">
        <v>45436</v>
      </c>
      <c r="F43" s="230">
        <v>25000000</v>
      </c>
      <c r="G43" s="231">
        <v>27075000</v>
      </c>
    </row>
    <row r="44" spans="1:7" s="209" customFormat="1" ht="22.9" customHeight="1" x14ac:dyDescent="0.3">
      <c r="A44" s="203"/>
      <c r="B44" s="274" t="s">
        <v>201</v>
      </c>
      <c r="C44" s="228">
        <v>4.95</v>
      </c>
      <c r="D44" s="229">
        <v>42811</v>
      </c>
      <c r="E44" s="229">
        <v>45436</v>
      </c>
      <c r="F44" s="230">
        <v>13141676.369999999</v>
      </c>
      <c r="G44" s="231">
        <v>14232435.51</v>
      </c>
    </row>
    <row r="45" spans="1:7" s="209" customFormat="1" ht="22.9" customHeight="1" x14ac:dyDescent="0.3">
      <c r="A45" s="203"/>
      <c r="B45" s="274" t="s">
        <v>202</v>
      </c>
      <c r="C45" s="228">
        <v>4.95</v>
      </c>
      <c r="D45" s="229">
        <v>42909</v>
      </c>
      <c r="E45" s="229">
        <v>45436</v>
      </c>
      <c r="F45" s="230">
        <v>9850000</v>
      </c>
      <c r="G45" s="231">
        <v>10707935</v>
      </c>
    </row>
    <row r="46" spans="1:7" s="209" customFormat="1" ht="22.9" customHeight="1" x14ac:dyDescent="0.3">
      <c r="A46" s="203"/>
      <c r="B46" s="274" t="s">
        <v>203</v>
      </c>
      <c r="C46" s="228">
        <v>4.95</v>
      </c>
      <c r="D46" s="229">
        <v>42909</v>
      </c>
      <c r="E46" s="229">
        <v>45436</v>
      </c>
      <c r="F46" s="230">
        <v>9850000</v>
      </c>
      <c r="G46" s="231">
        <v>10707935</v>
      </c>
    </row>
    <row r="47" spans="1:7" s="209" customFormat="1" ht="22.9" customHeight="1" x14ac:dyDescent="0.3">
      <c r="A47" s="203"/>
      <c r="B47" s="274" t="s">
        <v>204</v>
      </c>
      <c r="C47" s="228">
        <v>4.95</v>
      </c>
      <c r="D47" s="229">
        <v>42909</v>
      </c>
      <c r="E47" s="229">
        <v>45436</v>
      </c>
      <c r="F47" s="230">
        <v>9850000</v>
      </c>
      <c r="G47" s="231">
        <v>10707935</v>
      </c>
    </row>
    <row r="48" spans="1:7" s="209" customFormat="1" ht="24.75" customHeight="1" x14ac:dyDescent="0.3">
      <c r="A48" s="203"/>
      <c r="B48" s="274" t="s">
        <v>205</v>
      </c>
      <c r="C48" s="228">
        <v>4.95</v>
      </c>
      <c r="D48" s="229">
        <v>42930</v>
      </c>
      <c r="E48" s="229">
        <v>45436</v>
      </c>
      <c r="F48" s="230">
        <v>126969795.33</v>
      </c>
      <c r="G48" s="231">
        <v>138650895.69999999</v>
      </c>
    </row>
    <row r="49" spans="1:11" s="209" customFormat="1" ht="21.75" customHeight="1" x14ac:dyDescent="0.3">
      <c r="A49" s="203"/>
      <c r="B49" s="225" t="s">
        <v>206</v>
      </c>
      <c r="C49" s="278"/>
      <c r="D49" s="219"/>
      <c r="E49" s="219"/>
      <c r="F49" s="220">
        <f>SUM(F50:F52)</f>
        <v>121601475.09999999</v>
      </c>
      <c r="G49" s="220">
        <f>SUM(G50:G52)</f>
        <v>120755317.83</v>
      </c>
    </row>
    <row r="50" spans="1:11" s="209" customFormat="1" ht="31.5" customHeight="1" x14ac:dyDescent="0.3">
      <c r="A50" s="203"/>
      <c r="B50" s="274" t="s">
        <v>207</v>
      </c>
      <c r="C50" s="245">
        <v>3</v>
      </c>
      <c r="D50" s="229">
        <v>43182</v>
      </c>
      <c r="E50" s="229">
        <v>45198</v>
      </c>
      <c r="F50" s="246">
        <v>31616687.73</v>
      </c>
      <c r="G50" s="247">
        <v>31575586.039999999</v>
      </c>
    </row>
    <row r="51" spans="1:11" s="209" customFormat="1" ht="31.5" customHeight="1" x14ac:dyDescent="0.3">
      <c r="A51" s="203"/>
      <c r="B51" s="274" t="s">
        <v>132</v>
      </c>
      <c r="C51" s="245">
        <v>3</v>
      </c>
      <c r="D51" s="229">
        <v>43245</v>
      </c>
      <c r="E51" s="229">
        <v>45198</v>
      </c>
      <c r="F51" s="246">
        <v>45091834.850000001</v>
      </c>
      <c r="G51" s="247">
        <v>44758155.270000003</v>
      </c>
    </row>
    <row r="52" spans="1:11" s="209" customFormat="1" ht="31.5" customHeight="1" x14ac:dyDescent="0.3">
      <c r="A52" s="203"/>
      <c r="B52" s="274" t="s">
        <v>208</v>
      </c>
      <c r="C52" s="245">
        <v>3</v>
      </c>
      <c r="D52" s="229">
        <v>43280</v>
      </c>
      <c r="E52" s="229">
        <v>45198</v>
      </c>
      <c r="F52" s="246">
        <v>44892952.520000003</v>
      </c>
      <c r="G52" s="247">
        <v>44421576.520000003</v>
      </c>
    </row>
    <row r="53" spans="1:11" s="209" customFormat="1" ht="40.5" hidden="1" customHeight="1" x14ac:dyDescent="0.3">
      <c r="A53" s="203"/>
      <c r="B53" s="279"/>
      <c r="C53" s="245"/>
      <c r="D53" s="229"/>
      <c r="E53" s="229"/>
      <c r="F53" s="246"/>
      <c r="G53" s="280"/>
      <c r="H53" s="277"/>
      <c r="I53" s="277"/>
      <c r="J53" s="281"/>
      <c r="K53" s="277"/>
    </row>
    <row r="54" spans="1:11" ht="30" customHeight="1" x14ac:dyDescent="0.3">
      <c r="B54" s="282" t="s">
        <v>139</v>
      </c>
      <c r="C54" s="283"/>
      <c r="D54" s="284"/>
      <c r="E54" s="284"/>
      <c r="F54" s="285">
        <f>SUM(F55)</f>
        <v>11955245.92</v>
      </c>
      <c r="G54" s="285">
        <f>SUM(G55)</f>
        <v>11955245.92</v>
      </c>
    </row>
    <row r="55" spans="1:11" ht="30" customHeight="1" x14ac:dyDescent="0.3">
      <c r="B55" s="279" t="s">
        <v>209</v>
      </c>
      <c r="C55" s="286">
        <v>3</v>
      </c>
      <c r="D55" s="229">
        <v>43712</v>
      </c>
      <c r="E55" s="229">
        <v>47365</v>
      </c>
      <c r="F55" s="231">
        <v>11955245.92</v>
      </c>
      <c r="G55" s="230">
        <v>11955245.92</v>
      </c>
    </row>
    <row r="56" spans="1:11" ht="27" customHeight="1" x14ac:dyDescent="0.3">
      <c r="B56" s="282" t="s">
        <v>210</v>
      </c>
      <c r="C56" s="283"/>
      <c r="D56" s="284"/>
      <c r="E56" s="284"/>
      <c r="F56" s="285">
        <f>SUM(F57)</f>
        <v>96050</v>
      </c>
      <c r="G56" s="285">
        <f>SUM(G57)</f>
        <v>96050</v>
      </c>
    </row>
    <row r="57" spans="1:11" ht="27" customHeight="1" x14ac:dyDescent="0.35">
      <c r="B57" s="274" t="s">
        <v>211</v>
      </c>
      <c r="C57" s="287"/>
      <c r="D57" s="288"/>
      <c r="E57" s="288"/>
      <c r="F57" s="231">
        <f>[8]nuevo!$F$10</f>
        <v>96050</v>
      </c>
      <c r="G57" s="231">
        <f>[8]nuevo!$F$10</f>
        <v>96050</v>
      </c>
    </row>
    <row r="58" spans="1:11" ht="12.75" customHeight="1" x14ac:dyDescent="0.35">
      <c r="B58" s="259"/>
      <c r="C58" s="289"/>
      <c r="D58" s="289"/>
      <c r="E58" s="289"/>
      <c r="F58" s="260"/>
      <c r="G58" s="290"/>
    </row>
    <row r="59" spans="1:11" x14ac:dyDescent="0.35">
      <c r="B59" s="291"/>
      <c r="C59" s="292"/>
      <c r="D59" s="293"/>
      <c r="E59" s="293"/>
      <c r="F59" s="292"/>
      <c r="G59" s="290"/>
    </row>
    <row r="60" spans="1:11" ht="34.5" customHeight="1" x14ac:dyDescent="0.3">
      <c r="B60" s="1626" t="s">
        <v>212</v>
      </c>
      <c r="C60" s="1626"/>
      <c r="D60" s="1626"/>
      <c r="E60" s="1626" t="s">
        <v>163</v>
      </c>
      <c r="F60" s="1626"/>
      <c r="G60" s="1626"/>
    </row>
    <row r="61" spans="1:11" ht="15" x14ac:dyDescent="0.3">
      <c r="B61" s="1626" t="s">
        <v>213</v>
      </c>
      <c r="C61" s="1626"/>
      <c r="D61" s="1626"/>
      <c r="E61" s="1626" t="s">
        <v>165</v>
      </c>
      <c r="F61" s="1626"/>
      <c r="G61" s="1626"/>
    </row>
    <row r="62" spans="1:11" ht="15" customHeight="1" x14ac:dyDescent="0.3">
      <c r="B62" s="1623" t="s">
        <v>214</v>
      </c>
      <c r="C62" s="1623"/>
      <c r="D62" s="1623"/>
      <c r="E62" s="1623" t="s">
        <v>167</v>
      </c>
      <c r="F62" s="1623"/>
      <c r="G62" s="1623"/>
    </row>
  </sheetData>
  <mergeCells count="13">
    <mergeCell ref="B62:D62"/>
    <mergeCell ref="E62:G62"/>
    <mergeCell ref="B2:G2"/>
    <mergeCell ref="B3:G3"/>
    <mergeCell ref="B4:G4"/>
    <mergeCell ref="B5:G5"/>
    <mergeCell ref="B6:G6"/>
    <mergeCell ref="B7:G7"/>
    <mergeCell ref="D8:E8"/>
    <mergeCell ref="B60:D60"/>
    <mergeCell ref="E60:G60"/>
    <mergeCell ref="B61:D61"/>
    <mergeCell ref="E61:G61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B227"/>
  <sheetViews>
    <sheetView workbookViewId="0">
      <selection activeCell="K6" sqref="K6"/>
    </sheetView>
  </sheetViews>
  <sheetFormatPr baseColWidth="10" defaultColWidth="11.453125" defaultRowHeight="15.5" x14ac:dyDescent="0.35"/>
  <cols>
    <col min="1" max="1" width="11.453125" style="203"/>
    <col min="2" max="2" width="46.26953125" style="294" customWidth="1"/>
    <col min="3" max="3" width="9.1796875" style="294" customWidth="1"/>
    <col min="4" max="4" width="15.453125" style="294" customWidth="1"/>
    <col min="5" max="5" width="15.7265625" style="294" customWidth="1"/>
    <col min="6" max="6" width="21.7265625" style="294" customWidth="1"/>
    <col min="7" max="7" width="22.26953125" style="294" customWidth="1"/>
    <col min="8" max="8" width="18.54296875" style="206" bestFit="1" customWidth="1"/>
    <col min="9" max="9" width="20.81640625" style="206" customWidth="1"/>
    <col min="10" max="10" width="12" style="206" customWidth="1"/>
    <col min="11" max="11" width="20.1796875" style="207" customWidth="1"/>
    <col min="12" max="16384" width="11.453125" style="207"/>
  </cols>
  <sheetData>
    <row r="1" spans="1:28" ht="18" customHeight="1" x14ac:dyDescent="0.35">
      <c r="B1" s="260"/>
      <c r="C1" s="260"/>
      <c r="D1" s="260"/>
      <c r="E1" s="260"/>
      <c r="F1" s="260"/>
      <c r="G1" s="296" t="s">
        <v>215</v>
      </c>
    </row>
    <row r="2" spans="1:28" ht="17.25" customHeight="1" x14ac:dyDescent="0.35">
      <c r="B2" s="1628" t="s">
        <v>0</v>
      </c>
      <c r="C2" s="1628"/>
      <c r="D2" s="1628"/>
      <c r="E2" s="1628"/>
      <c r="F2" s="1628"/>
      <c r="G2" s="1628"/>
    </row>
    <row r="3" spans="1:28" s="209" customFormat="1" ht="19.5" customHeight="1" x14ac:dyDescent="0.3">
      <c r="A3" s="203"/>
      <c r="B3" s="1624" t="s">
        <v>91</v>
      </c>
      <c r="C3" s="1624"/>
      <c r="D3" s="1624"/>
      <c r="E3" s="1624"/>
      <c r="F3" s="1624"/>
      <c r="G3" s="1624"/>
      <c r="H3" s="208"/>
      <c r="I3" s="208"/>
      <c r="J3" s="208"/>
    </row>
    <row r="4" spans="1:28" s="209" customFormat="1" ht="32.25" customHeight="1" x14ac:dyDescent="0.3">
      <c r="A4" s="203"/>
      <c r="B4" s="1634" t="s">
        <v>216</v>
      </c>
      <c r="C4" s="1635"/>
      <c r="D4" s="1635"/>
      <c r="E4" s="1635"/>
      <c r="F4" s="1635"/>
      <c r="G4" s="1635"/>
      <c r="H4" s="208"/>
      <c r="I4" s="208"/>
      <c r="J4" s="208"/>
    </row>
    <row r="5" spans="1:28" s="209" customFormat="1" ht="18.75" customHeight="1" x14ac:dyDescent="0.3">
      <c r="A5" s="203"/>
      <c r="B5" s="1636" t="s">
        <v>94</v>
      </c>
      <c r="C5" s="1636"/>
      <c r="D5" s="1636"/>
      <c r="E5" s="1636"/>
      <c r="F5" s="1636"/>
      <c r="G5" s="1636"/>
      <c r="H5" s="208"/>
      <c r="I5" s="208"/>
      <c r="J5" s="208"/>
    </row>
    <row r="6" spans="1:28" s="209" customFormat="1" ht="16.5" customHeight="1" x14ac:dyDescent="0.3">
      <c r="A6" s="203"/>
      <c r="B6" s="1624" t="s">
        <v>95</v>
      </c>
      <c r="C6" s="1624"/>
      <c r="D6" s="1624"/>
      <c r="E6" s="1624"/>
      <c r="F6" s="1624"/>
      <c r="G6" s="1624"/>
      <c r="H6" s="208"/>
      <c r="I6" s="208"/>
      <c r="J6" s="208"/>
    </row>
    <row r="7" spans="1:28" s="209" customFormat="1" ht="6" customHeight="1" x14ac:dyDescent="0.3">
      <c r="A7" s="203"/>
      <c r="B7" s="297"/>
      <c r="C7" s="297"/>
      <c r="D7" s="297"/>
      <c r="E7" s="297"/>
      <c r="F7" s="297"/>
      <c r="G7" s="297"/>
      <c r="H7" s="208"/>
      <c r="I7" s="208"/>
      <c r="J7" s="208"/>
    </row>
    <row r="8" spans="1:28" s="301" customFormat="1" ht="42" customHeight="1" x14ac:dyDescent="0.3">
      <c r="A8" s="203"/>
      <c r="B8" s="298" t="s">
        <v>96</v>
      </c>
      <c r="C8" s="299" t="s">
        <v>97</v>
      </c>
      <c r="D8" s="299" t="s">
        <v>217</v>
      </c>
      <c r="E8" s="300" t="s">
        <v>218</v>
      </c>
      <c r="F8" s="300" t="s">
        <v>99</v>
      </c>
      <c r="G8" s="299" t="s">
        <v>100</v>
      </c>
      <c r="H8" s="208"/>
      <c r="I8" s="213"/>
      <c r="J8" s="213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</row>
    <row r="9" spans="1:28" s="209" customFormat="1" ht="25.5" customHeight="1" x14ac:dyDescent="0.3">
      <c r="A9" s="203"/>
      <c r="B9" s="217" t="s">
        <v>101</v>
      </c>
      <c r="C9" s="270"/>
      <c r="D9" s="302"/>
      <c r="E9" s="302"/>
      <c r="F9" s="216">
        <f>F10+F99</f>
        <v>3428611463.6300001</v>
      </c>
      <c r="G9" s="216">
        <f>G10+G99</f>
        <v>3545725122.6199999</v>
      </c>
      <c r="H9" s="223"/>
      <c r="I9" s="223">
        <v>208284147.31</v>
      </c>
      <c r="J9" s="253"/>
    </row>
    <row r="10" spans="1:28" s="209" customFormat="1" ht="39.75" customHeight="1" x14ac:dyDescent="0.3">
      <c r="A10" s="203"/>
      <c r="B10" s="303" t="s">
        <v>219</v>
      </c>
      <c r="C10" s="304"/>
      <c r="D10" s="304"/>
      <c r="E10" s="304"/>
      <c r="F10" s="216">
        <f>SUM(F14+F21+F48+F23+F27+F42+F51+F55+F57+F66+F84+F91+F93+F95+F11+F79+F81)</f>
        <v>997951338.40999997</v>
      </c>
      <c r="G10" s="216">
        <f>SUM(G14+G21+G48+G23+G27+G42+G51+G55+G57+G66+G84+G91+G93+G95+G11+G79+G81)</f>
        <v>1035144547.91</v>
      </c>
      <c r="H10" s="208"/>
      <c r="I10" s="305">
        <f>SUM(I9)-F10</f>
        <v>-789667191.10000002</v>
      </c>
      <c r="J10" s="208"/>
    </row>
    <row r="11" spans="1:28" s="209" customFormat="1" ht="23.25" hidden="1" customHeight="1" x14ac:dyDescent="0.3">
      <c r="A11" s="203"/>
      <c r="B11" s="306"/>
      <c r="C11" s="226"/>
      <c r="D11" s="219"/>
      <c r="E11" s="219"/>
      <c r="F11" s="220"/>
      <c r="G11" s="220"/>
      <c r="H11" s="208"/>
      <c r="I11" s="305"/>
      <c r="J11" s="208"/>
    </row>
    <row r="12" spans="1:28" s="209" customFormat="1" ht="23.25" hidden="1" customHeight="1" x14ac:dyDescent="0.3">
      <c r="A12" s="203"/>
      <c r="B12" s="227"/>
      <c r="C12" s="234"/>
      <c r="D12" s="229"/>
      <c r="E12" s="229"/>
      <c r="F12" s="230"/>
      <c r="G12" s="231"/>
      <c r="H12" s="208"/>
      <c r="I12" s="305"/>
      <c r="J12" s="208"/>
    </row>
    <row r="13" spans="1:28" s="209" customFormat="1" ht="23.25" hidden="1" customHeight="1" x14ac:dyDescent="0.3">
      <c r="A13" s="203"/>
      <c r="B13" s="227"/>
      <c r="C13" s="234"/>
      <c r="D13" s="229"/>
      <c r="E13" s="229"/>
      <c r="F13" s="230"/>
      <c r="G13" s="231"/>
      <c r="H13" s="208"/>
      <c r="I13" s="305"/>
      <c r="J13" s="208"/>
    </row>
    <row r="14" spans="1:28" s="209" customFormat="1" ht="23.25" customHeight="1" x14ac:dyDescent="0.3">
      <c r="A14" s="203"/>
      <c r="B14" s="306" t="s">
        <v>220</v>
      </c>
      <c r="C14" s="226"/>
      <c r="D14" s="219"/>
      <c r="E14" s="219"/>
      <c r="F14" s="220">
        <f>SUM(F15:F20)</f>
        <v>5282637.76</v>
      </c>
      <c r="G14" s="220">
        <f>SUM(G15:G20)</f>
        <v>4977197.72</v>
      </c>
      <c r="H14" s="307"/>
      <c r="I14" s="308"/>
      <c r="J14" s="309"/>
      <c r="K14" s="308"/>
    </row>
    <row r="15" spans="1:28" s="209" customFormat="1" ht="23.25" customHeight="1" x14ac:dyDescent="0.3">
      <c r="A15" s="203"/>
      <c r="B15" s="227" t="s">
        <v>221</v>
      </c>
      <c r="C15" s="234">
        <v>7.125</v>
      </c>
      <c r="D15" s="229">
        <v>39736</v>
      </c>
      <c r="E15" s="229">
        <v>46051</v>
      </c>
      <c r="F15" s="230">
        <v>1291688.49</v>
      </c>
      <c r="G15" s="231">
        <v>1227104.07</v>
      </c>
      <c r="H15" s="310"/>
      <c r="I15" s="310"/>
      <c r="J15" s="310"/>
    </row>
    <row r="16" spans="1:28" s="209" customFormat="1" ht="23.25" customHeight="1" x14ac:dyDescent="0.3">
      <c r="A16" s="203"/>
      <c r="B16" s="227" t="s">
        <v>222</v>
      </c>
      <c r="C16" s="234">
        <v>7.125</v>
      </c>
      <c r="D16" s="229">
        <v>39743</v>
      </c>
      <c r="E16" s="229">
        <v>46051</v>
      </c>
      <c r="F16" s="230">
        <v>323810.08</v>
      </c>
      <c r="G16" s="231">
        <v>294667.17</v>
      </c>
      <c r="H16" s="310"/>
      <c r="I16" s="310"/>
      <c r="J16" s="310"/>
    </row>
    <row r="17" spans="1:10" s="209" customFormat="1" ht="23.25" customHeight="1" x14ac:dyDescent="0.3">
      <c r="A17" s="203"/>
      <c r="B17" s="227" t="s">
        <v>223</v>
      </c>
      <c r="C17" s="234">
        <v>7.125</v>
      </c>
      <c r="D17" s="229">
        <v>39742</v>
      </c>
      <c r="E17" s="229">
        <v>46051</v>
      </c>
      <c r="F17" s="230">
        <v>1587863.5</v>
      </c>
      <c r="G17" s="231">
        <v>1448925.44</v>
      </c>
      <c r="H17" s="310"/>
      <c r="I17" s="310"/>
      <c r="J17" s="310"/>
    </row>
    <row r="18" spans="1:10" s="209" customFormat="1" ht="23.25" customHeight="1" x14ac:dyDescent="0.3">
      <c r="A18" s="203"/>
      <c r="B18" s="227" t="s">
        <v>224</v>
      </c>
      <c r="C18" s="234">
        <v>7.125</v>
      </c>
      <c r="D18" s="229">
        <v>39841</v>
      </c>
      <c r="E18" s="229">
        <v>46051</v>
      </c>
      <c r="F18" s="230">
        <v>495228.11</v>
      </c>
      <c r="G18" s="231">
        <v>477895.12</v>
      </c>
      <c r="H18" s="310"/>
      <c r="I18" s="310"/>
      <c r="J18" s="310"/>
    </row>
    <row r="19" spans="1:10" s="209" customFormat="1" ht="23.25" customHeight="1" x14ac:dyDescent="0.3">
      <c r="A19" s="203"/>
      <c r="B19" s="227" t="s">
        <v>147</v>
      </c>
      <c r="C19" s="234">
        <v>7.125</v>
      </c>
      <c r="D19" s="229">
        <v>39841</v>
      </c>
      <c r="E19" s="229">
        <v>46051</v>
      </c>
      <c r="F19" s="230">
        <v>572506.06000000006</v>
      </c>
      <c r="G19" s="231">
        <v>552468.35</v>
      </c>
      <c r="H19" s="310"/>
      <c r="I19" s="310"/>
      <c r="J19" s="310"/>
    </row>
    <row r="20" spans="1:10" s="209" customFormat="1" ht="23.25" customHeight="1" x14ac:dyDescent="0.3">
      <c r="A20" s="203"/>
      <c r="B20" s="227" t="s">
        <v>148</v>
      </c>
      <c r="C20" s="234">
        <v>7.125</v>
      </c>
      <c r="D20" s="229">
        <v>39841</v>
      </c>
      <c r="E20" s="229">
        <v>46051</v>
      </c>
      <c r="F20" s="230">
        <v>1011541.52</v>
      </c>
      <c r="G20" s="231">
        <v>976137.57</v>
      </c>
      <c r="H20" s="310"/>
      <c r="I20" s="310"/>
      <c r="J20" s="310"/>
    </row>
    <row r="21" spans="1:10" s="209" customFormat="1" ht="23.25" customHeight="1" x14ac:dyDescent="0.3">
      <c r="A21" s="203"/>
      <c r="B21" s="306" t="s">
        <v>225</v>
      </c>
      <c r="C21" s="226"/>
      <c r="D21" s="219"/>
      <c r="E21" s="219"/>
      <c r="F21" s="220">
        <f>SUM(F22)</f>
        <v>1175000</v>
      </c>
      <c r="G21" s="220">
        <f>SUM(G22)</f>
        <v>1069250</v>
      </c>
      <c r="H21" s="310"/>
      <c r="I21" s="310"/>
      <c r="J21" s="310"/>
    </row>
    <row r="22" spans="1:10" s="209" customFormat="1" ht="23.25" customHeight="1" x14ac:dyDescent="0.3">
      <c r="A22" s="203"/>
      <c r="B22" s="311" t="s">
        <v>226</v>
      </c>
      <c r="C22" s="234">
        <v>8.8699999999999992</v>
      </c>
      <c r="D22" s="229">
        <v>39751</v>
      </c>
      <c r="E22" s="229">
        <v>46660</v>
      </c>
      <c r="F22" s="230">
        <v>1175000</v>
      </c>
      <c r="G22" s="231">
        <v>1069250</v>
      </c>
      <c r="H22" s="310"/>
      <c r="I22" s="208"/>
      <c r="J22" s="208"/>
    </row>
    <row r="23" spans="1:10" s="209" customFormat="1" ht="23.25" customHeight="1" x14ac:dyDescent="0.3">
      <c r="A23" s="203"/>
      <c r="B23" s="306" t="s">
        <v>227</v>
      </c>
      <c r="C23" s="226"/>
      <c r="D23" s="219"/>
      <c r="E23" s="219"/>
      <c r="F23" s="220">
        <f>SUM(F24:F26)</f>
        <v>45007748.280000001</v>
      </c>
      <c r="G23" s="220">
        <f>SUM(G24:G26)</f>
        <v>44435540.350000001</v>
      </c>
      <c r="H23" s="310"/>
      <c r="I23" s="208"/>
      <c r="J23" s="208"/>
    </row>
    <row r="24" spans="1:10" s="209" customFormat="1" ht="23.25" customHeight="1" x14ac:dyDescent="0.3">
      <c r="A24" s="203"/>
      <c r="B24" s="311" t="s">
        <v>228</v>
      </c>
      <c r="C24" s="234">
        <v>2.25</v>
      </c>
      <c r="D24" s="229">
        <v>44223</v>
      </c>
      <c r="E24" s="229">
        <v>48486</v>
      </c>
      <c r="F24" s="230">
        <v>25007748.280000001</v>
      </c>
      <c r="G24" s="231">
        <v>25143540.350000001</v>
      </c>
      <c r="H24" s="310"/>
      <c r="I24" s="208"/>
      <c r="J24" s="208"/>
    </row>
    <row r="25" spans="1:10" s="209" customFormat="1" ht="23.25" customHeight="1" x14ac:dyDescent="0.3">
      <c r="A25" s="203"/>
      <c r="B25" s="311" t="s">
        <v>229</v>
      </c>
      <c r="C25" s="234">
        <v>2.25</v>
      </c>
      <c r="D25" s="229">
        <v>44321</v>
      </c>
      <c r="E25" s="229">
        <v>48486</v>
      </c>
      <c r="F25" s="230">
        <v>10000000</v>
      </c>
      <c r="G25" s="231">
        <v>9645000</v>
      </c>
      <c r="H25" s="310"/>
      <c r="I25" s="208"/>
      <c r="J25" s="208"/>
    </row>
    <row r="26" spans="1:10" s="209" customFormat="1" ht="23.25" customHeight="1" x14ac:dyDescent="0.3">
      <c r="A26" s="203"/>
      <c r="B26" s="311" t="s">
        <v>230</v>
      </c>
      <c r="C26" s="234">
        <v>2.25</v>
      </c>
      <c r="D26" s="229">
        <v>44322</v>
      </c>
      <c r="E26" s="229">
        <v>48486</v>
      </c>
      <c r="F26" s="230">
        <v>10000000</v>
      </c>
      <c r="G26" s="231">
        <v>9647000</v>
      </c>
      <c r="H26" s="310"/>
      <c r="I26" s="208"/>
      <c r="J26" s="208"/>
    </row>
    <row r="27" spans="1:10" s="209" customFormat="1" ht="23.25" customHeight="1" x14ac:dyDescent="0.3">
      <c r="A27" s="203"/>
      <c r="B27" s="306" t="s">
        <v>231</v>
      </c>
      <c r="C27" s="226"/>
      <c r="D27" s="219"/>
      <c r="E27" s="219"/>
      <c r="F27" s="220">
        <f>SUM(F28:F41)</f>
        <v>14899565.24</v>
      </c>
      <c r="G27" s="220">
        <f>SUM(G28:G41)</f>
        <v>15201035.99</v>
      </c>
      <c r="H27" s="310"/>
      <c r="I27" s="208"/>
      <c r="J27" s="208"/>
    </row>
    <row r="28" spans="1:10" s="209" customFormat="1" ht="23.25" customHeight="1" x14ac:dyDescent="0.3">
      <c r="A28" s="203"/>
      <c r="B28" s="311" t="s">
        <v>232</v>
      </c>
      <c r="C28" s="234">
        <v>6.7</v>
      </c>
      <c r="D28" s="229">
        <v>39636</v>
      </c>
      <c r="E28" s="229">
        <v>49700</v>
      </c>
      <c r="F28" s="230">
        <v>3211051.94</v>
      </c>
      <c r="G28" s="231">
        <v>3267245.35</v>
      </c>
      <c r="H28" s="312"/>
      <c r="I28" s="208"/>
      <c r="J28" s="208"/>
    </row>
    <row r="29" spans="1:10" s="209" customFormat="1" ht="23.25" customHeight="1" x14ac:dyDescent="0.3">
      <c r="A29" s="203"/>
      <c r="B29" s="311" t="s">
        <v>233</v>
      </c>
      <c r="C29" s="234">
        <v>6.7</v>
      </c>
      <c r="D29" s="229">
        <v>39636</v>
      </c>
      <c r="E29" s="229">
        <v>49700</v>
      </c>
      <c r="F29" s="230">
        <v>440000</v>
      </c>
      <c r="G29" s="231">
        <v>447700</v>
      </c>
      <c r="H29" s="312"/>
      <c r="I29" s="208"/>
      <c r="J29" s="208"/>
    </row>
    <row r="30" spans="1:10" s="209" customFormat="1" ht="23.25" customHeight="1" x14ac:dyDescent="0.3">
      <c r="A30" s="203"/>
      <c r="B30" s="311" t="s">
        <v>234</v>
      </c>
      <c r="C30" s="234">
        <v>6.7</v>
      </c>
      <c r="D30" s="229">
        <v>40218</v>
      </c>
      <c r="E30" s="229">
        <v>49700</v>
      </c>
      <c r="F30" s="230">
        <v>44282.080000000002</v>
      </c>
      <c r="G30" s="231">
        <v>45167.72</v>
      </c>
      <c r="H30" s="312"/>
      <c r="I30" s="208"/>
      <c r="J30" s="208"/>
    </row>
    <row r="31" spans="1:10" s="209" customFormat="1" ht="23.25" customHeight="1" x14ac:dyDescent="0.3">
      <c r="A31" s="203"/>
      <c r="B31" s="311" t="s">
        <v>235</v>
      </c>
      <c r="C31" s="234">
        <v>6.7</v>
      </c>
      <c r="D31" s="229">
        <v>39714</v>
      </c>
      <c r="E31" s="229">
        <v>49700</v>
      </c>
      <c r="F31" s="230">
        <v>1100000</v>
      </c>
      <c r="G31" s="231">
        <v>1091750</v>
      </c>
      <c r="H31" s="312"/>
      <c r="I31" s="208"/>
      <c r="J31" s="208"/>
    </row>
    <row r="32" spans="1:10" s="209" customFormat="1" ht="23.25" customHeight="1" x14ac:dyDescent="0.3">
      <c r="A32" s="203"/>
      <c r="B32" s="311" t="s">
        <v>236</v>
      </c>
      <c r="C32" s="234">
        <v>6.7</v>
      </c>
      <c r="D32" s="229">
        <v>39841</v>
      </c>
      <c r="E32" s="229">
        <v>49700</v>
      </c>
      <c r="F32" s="230">
        <v>935957.91</v>
      </c>
      <c r="G32" s="231">
        <v>856401.49</v>
      </c>
      <c r="H32" s="312"/>
      <c r="I32" s="208"/>
      <c r="J32" s="208"/>
    </row>
    <row r="33" spans="1:11" s="209" customFormat="1" ht="23.25" customHeight="1" x14ac:dyDescent="0.3">
      <c r="A33" s="203"/>
      <c r="B33" s="311" t="s">
        <v>237</v>
      </c>
      <c r="C33" s="234">
        <v>6.7</v>
      </c>
      <c r="D33" s="229">
        <v>39911</v>
      </c>
      <c r="E33" s="229">
        <v>49700</v>
      </c>
      <c r="F33" s="230">
        <v>1106172.77</v>
      </c>
      <c r="G33" s="231">
        <v>987259.2</v>
      </c>
      <c r="H33" s="312"/>
      <c r="I33" s="208"/>
      <c r="J33" s="208"/>
    </row>
    <row r="34" spans="1:11" s="209" customFormat="1" ht="23.25" customHeight="1" x14ac:dyDescent="0.3">
      <c r="A34" s="203"/>
      <c r="B34" s="311" t="s">
        <v>238</v>
      </c>
      <c r="C34" s="234">
        <v>6.7</v>
      </c>
      <c r="D34" s="229">
        <v>39976</v>
      </c>
      <c r="E34" s="229">
        <v>49700</v>
      </c>
      <c r="F34" s="230">
        <v>452700.54</v>
      </c>
      <c r="G34" s="231">
        <v>450437.03</v>
      </c>
      <c r="H34" s="312"/>
      <c r="I34" s="208"/>
      <c r="J34" s="208"/>
    </row>
    <row r="35" spans="1:11" s="209" customFormat="1" ht="23.25" customHeight="1" x14ac:dyDescent="0.3">
      <c r="A35" s="203"/>
      <c r="B35" s="311" t="s">
        <v>239</v>
      </c>
      <c r="C35" s="234">
        <v>6.7</v>
      </c>
      <c r="D35" s="229">
        <v>40218</v>
      </c>
      <c r="E35" s="229">
        <v>49700</v>
      </c>
      <c r="F35" s="230">
        <v>1000000</v>
      </c>
      <c r="G35" s="231">
        <v>1020000</v>
      </c>
      <c r="H35" s="312"/>
      <c r="I35" s="208"/>
      <c r="J35" s="208"/>
    </row>
    <row r="36" spans="1:11" s="209" customFormat="1" ht="23.25" customHeight="1" x14ac:dyDescent="0.3">
      <c r="A36" s="203"/>
      <c r="B36" s="311" t="s">
        <v>240</v>
      </c>
      <c r="C36" s="234">
        <v>6.7</v>
      </c>
      <c r="D36" s="229">
        <v>40056</v>
      </c>
      <c r="E36" s="229">
        <v>49700</v>
      </c>
      <c r="F36" s="230">
        <v>1289000</v>
      </c>
      <c r="G36" s="231">
        <v>1324447.5</v>
      </c>
      <c r="H36" s="312"/>
      <c r="I36" s="208"/>
      <c r="J36" s="208"/>
    </row>
    <row r="37" spans="1:11" s="209" customFormat="1" ht="23.25" customHeight="1" x14ac:dyDescent="0.3">
      <c r="A37" s="203"/>
      <c r="B37" s="311" t="s">
        <v>241</v>
      </c>
      <c r="C37" s="234">
        <v>6.7</v>
      </c>
      <c r="D37" s="229">
        <v>40218</v>
      </c>
      <c r="E37" s="229">
        <v>49700</v>
      </c>
      <c r="F37" s="230">
        <v>767800</v>
      </c>
      <c r="G37" s="231">
        <v>783156</v>
      </c>
      <c r="H37" s="312"/>
      <c r="I37" s="208"/>
      <c r="J37" s="208"/>
    </row>
    <row r="38" spans="1:11" s="209" customFormat="1" ht="23.25" customHeight="1" x14ac:dyDescent="0.3">
      <c r="A38" s="203"/>
      <c r="B38" s="311" t="s">
        <v>242</v>
      </c>
      <c r="C38" s="234">
        <v>6.7</v>
      </c>
      <c r="D38" s="229">
        <v>40218</v>
      </c>
      <c r="E38" s="229">
        <v>49700</v>
      </c>
      <c r="F38" s="230">
        <v>1303600</v>
      </c>
      <c r="G38" s="231">
        <v>1332279.2</v>
      </c>
      <c r="H38" s="312"/>
      <c r="I38" s="208"/>
      <c r="J38" s="208"/>
    </row>
    <row r="39" spans="1:11" s="209" customFormat="1" ht="23.25" customHeight="1" x14ac:dyDescent="0.3">
      <c r="A39" s="203"/>
      <c r="B39" s="311" t="s">
        <v>243</v>
      </c>
      <c r="C39" s="234">
        <v>6.7</v>
      </c>
      <c r="D39" s="229">
        <v>40234</v>
      </c>
      <c r="E39" s="229">
        <v>49700</v>
      </c>
      <c r="F39" s="230">
        <v>1000000</v>
      </c>
      <c r="G39" s="231">
        <v>1050000</v>
      </c>
      <c r="H39" s="312"/>
      <c r="I39" s="308"/>
      <c r="J39" s="309"/>
      <c r="K39" s="308"/>
    </row>
    <row r="40" spans="1:11" s="209" customFormat="1" ht="23.25" customHeight="1" x14ac:dyDescent="0.3">
      <c r="A40" s="203"/>
      <c r="B40" s="311" t="s">
        <v>244</v>
      </c>
      <c r="C40" s="234">
        <v>6.7</v>
      </c>
      <c r="D40" s="229">
        <v>40238</v>
      </c>
      <c r="E40" s="229">
        <v>49700</v>
      </c>
      <c r="F40" s="230">
        <v>749000</v>
      </c>
      <c r="G40" s="231">
        <v>792067.5</v>
      </c>
      <c r="H40" s="312"/>
      <c r="I40" s="308"/>
      <c r="J40" s="309"/>
      <c r="K40" s="308"/>
    </row>
    <row r="41" spans="1:11" s="209" customFormat="1" ht="23.25" customHeight="1" x14ac:dyDescent="0.3">
      <c r="A41" s="203"/>
      <c r="B41" s="311" t="s">
        <v>245</v>
      </c>
      <c r="C41" s="234">
        <v>6.7</v>
      </c>
      <c r="D41" s="229">
        <v>41457</v>
      </c>
      <c r="E41" s="229">
        <v>49700</v>
      </c>
      <c r="F41" s="230">
        <v>1500000</v>
      </c>
      <c r="G41" s="231">
        <v>1753125</v>
      </c>
      <c r="H41" s="312"/>
      <c r="I41" s="308"/>
      <c r="J41" s="309"/>
      <c r="K41" s="308"/>
    </row>
    <row r="42" spans="1:11" s="209" customFormat="1" ht="23.25" customHeight="1" x14ac:dyDescent="0.3">
      <c r="A42" s="203"/>
      <c r="B42" s="306" t="s">
        <v>246</v>
      </c>
      <c r="C42" s="226"/>
      <c r="D42" s="219"/>
      <c r="E42" s="219"/>
      <c r="F42" s="220">
        <f>SUM(F43:F47)</f>
        <v>14171690.630000001</v>
      </c>
      <c r="G42" s="220">
        <f>SUM(G43:G47)</f>
        <v>14120299.49</v>
      </c>
      <c r="H42" s="312"/>
      <c r="I42" s="308"/>
      <c r="J42" s="309"/>
      <c r="K42" s="308"/>
    </row>
    <row r="43" spans="1:11" s="209" customFormat="1" ht="23.25" customHeight="1" x14ac:dyDescent="0.3">
      <c r="A43" s="203"/>
      <c r="B43" s="311" t="s">
        <v>247</v>
      </c>
      <c r="C43" s="234">
        <v>4.5</v>
      </c>
      <c r="D43" s="229">
        <v>42870</v>
      </c>
      <c r="E43" s="229">
        <v>53827</v>
      </c>
      <c r="F43" s="230">
        <v>1766466.36</v>
      </c>
      <c r="G43" s="231">
        <v>1762209.18</v>
      </c>
      <c r="H43" s="312"/>
      <c r="I43" s="208"/>
      <c r="J43" s="208"/>
    </row>
    <row r="44" spans="1:11" s="209" customFormat="1" ht="23.25" customHeight="1" x14ac:dyDescent="0.3">
      <c r="A44" s="203"/>
      <c r="B44" s="311" t="s">
        <v>248</v>
      </c>
      <c r="C44" s="234">
        <v>4.5</v>
      </c>
      <c r="D44" s="229">
        <v>43368</v>
      </c>
      <c r="E44" s="229">
        <v>53827</v>
      </c>
      <c r="F44" s="230">
        <v>2500000</v>
      </c>
      <c r="G44" s="231">
        <v>2493000</v>
      </c>
      <c r="H44" s="312"/>
      <c r="I44" s="208"/>
      <c r="J44" s="208"/>
    </row>
    <row r="45" spans="1:11" s="209" customFormat="1" ht="23.25" customHeight="1" x14ac:dyDescent="0.3">
      <c r="A45" s="203"/>
      <c r="B45" s="311" t="s">
        <v>249</v>
      </c>
      <c r="C45" s="234">
        <v>4.5</v>
      </c>
      <c r="D45" s="229">
        <v>43369</v>
      </c>
      <c r="E45" s="229">
        <v>53827</v>
      </c>
      <c r="F45" s="230">
        <v>2500000</v>
      </c>
      <c r="G45" s="231">
        <v>2493000</v>
      </c>
      <c r="H45" s="312"/>
      <c r="I45" s="208"/>
      <c r="J45" s="208"/>
    </row>
    <row r="46" spans="1:11" s="209" customFormat="1" ht="23.25" customHeight="1" x14ac:dyDescent="0.3">
      <c r="A46" s="203"/>
      <c r="B46" s="311" t="s">
        <v>250</v>
      </c>
      <c r="C46" s="234">
        <v>4.5</v>
      </c>
      <c r="D46" s="229">
        <v>43369</v>
      </c>
      <c r="E46" s="229">
        <v>53827</v>
      </c>
      <c r="F46" s="230">
        <v>5000000</v>
      </c>
      <c r="G46" s="231">
        <v>4982500</v>
      </c>
      <c r="H46" s="312"/>
      <c r="I46" s="208"/>
      <c r="J46" s="208"/>
    </row>
    <row r="47" spans="1:11" s="209" customFormat="1" ht="23.25" customHeight="1" x14ac:dyDescent="0.3">
      <c r="A47" s="203"/>
      <c r="B47" s="311" t="s">
        <v>251</v>
      </c>
      <c r="C47" s="234">
        <v>4.5</v>
      </c>
      <c r="D47" s="229">
        <v>43370</v>
      </c>
      <c r="E47" s="229">
        <v>53827</v>
      </c>
      <c r="F47" s="230">
        <v>2405224.27</v>
      </c>
      <c r="G47" s="231">
        <v>2389590.31</v>
      </c>
      <c r="H47" s="312"/>
      <c r="I47" s="208"/>
      <c r="J47" s="208"/>
    </row>
    <row r="48" spans="1:11" s="209" customFormat="1" ht="23.25" customHeight="1" x14ac:dyDescent="0.3">
      <c r="A48" s="203"/>
      <c r="B48" s="313" t="s">
        <v>171</v>
      </c>
      <c r="C48" s="226"/>
      <c r="D48" s="314"/>
      <c r="E48" s="314"/>
      <c r="F48" s="220">
        <f>SUM(F49:F50)</f>
        <v>32501903.09</v>
      </c>
      <c r="G48" s="220">
        <f>SUM(G49:G50)</f>
        <v>31874619.879999999</v>
      </c>
      <c r="H48" s="310"/>
      <c r="I48" s="208"/>
      <c r="J48" s="208"/>
    </row>
    <row r="49" spans="1:11" s="209" customFormat="1" ht="23.25" customHeight="1" x14ac:dyDescent="0.3">
      <c r="A49" s="203"/>
      <c r="B49" s="237" t="s">
        <v>172</v>
      </c>
      <c r="C49" s="234">
        <v>4.5</v>
      </c>
      <c r="D49" s="315">
        <v>43206</v>
      </c>
      <c r="E49" s="315">
        <v>54894</v>
      </c>
      <c r="F49" s="230">
        <v>24501903.09</v>
      </c>
      <c r="G49" s="230">
        <v>24396299.879999999</v>
      </c>
      <c r="H49" s="310"/>
      <c r="I49" s="208"/>
      <c r="J49" s="208"/>
    </row>
    <row r="50" spans="1:11" s="209" customFormat="1" ht="23.25" customHeight="1" x14ac:dyDescent="0.3">
      <c r="A50" s="203"/>
      <c r="B50" s="237" t="s">
        <v>252</v>
      </c>
      <c r="C50" s="234">
        <v>4.5</v>
      </c>
      <c r="D50" s="315">
        <v>43398</v>
      </c>
      <c r="E50" s="315">
        <v>54894</v>
      </c>
      <c r="F50" s="230">
        <v>8000000</v>
      </c>
      <c r="G50" s="230">
        <v>7478320</v>
      </c>
      <c r="H50" s="310"/>
      <c r="I50" s="208"/>
      <c r="J50" s="208"/>
    </row>
    <row r="51" spans="1:11" s="209" customFormat="1" ht="23.25" customHeight="1" x14ac:dyDescent="0.3">
      <c r="A51" s="203"/>
      <c r="B51" s="306" t="s">
        <v>253</v>
      </c>
      <c r="C51" s="226"/>
      <c r="D51" s="219"/>
      <c r="E51" s="219"/>
      <c r="F51" s="220">
        <f>SUM(F52:F54)</f>
        <v>75731842.739999995</v>
      </c>
      <c r="G51" s="220">
        <f>SUM(G52:G54)</f>
        <v>84567948.400000006</v>
      </c>
      <c r="H51" s="312"/>
      <c r="I51" s="208"/>
      <c r="J51" s="208"/>
    </row>
    <row r="52" spans="1:11" s="209" customFormat="1" ht="23.25" customHeight="1" x14ac:dyDescent="0.3">
      <c r="A52" s="203"/>
      <c r="B52" s="311" t="s">
        <v>254</v>
      </c>
      <c r="C52" s="234">
        <v>4.3</v>
      </c>
      <c r="D52" s="229">
        <v>41484</v>
      </c>
      <c r="E52" s="229">
        <v>56003</v>
      </c>
      <c r="F52" s="230">
        <v>2000000</v>
      </c>
      <c r="G52" s="231">
        <v>1690000</v>
      </c>
      <c r="H52" s="312"/>
      <c r="I52" s="308"/>
      <c r="J52" s="309"/>
      <c r="K52" s="308"/>
    </row>
    <row r="53" spans="1:11" s="209" customFormat="1" ht="23.25" customHeight="1" x14ac:dyDescent="0.3">
      <c r="A53" s="203"/>
      <c r="B53" s="311" t="s">
        <v>255</v>
      </c>
      <c r="C53" s="234">
        <v>4.3</v>
      </c>
      <c r="D53" s="229">
        <v>41492</v>
      </c>
      <c r="E53" s="229">
        <v>56003</v>
      </c>
      <c r="F53" s="230">
        <v>2000000</v>
      </c>
      <c r="G53" s="231">
        <v>1630000</v>
      </c>
      <c r="H53" s="312"/>
      <c r="I53" s="208"/>
      <c r="J53" s="208"/>
    </row>
    <row r="54" spans="1:11" s="209" customFormat="1" ht="23.25" customHeight="1" x14ac:dyDescent="0.3">
      <c r="A54" s="203"/>
      <c r="B54" s="311" t="s">
        <v>120</v>
      </c>
      <c r="C54" s="234">
        <v>4.3</v>
      </c>
      <c r="D54" s="229">
        <v>43795</v>
      </c>
      <c r="E54" s="229">
        <v>56003</v>
      </c>
      <c r="F54" s="230">
        <v>71731842.739999995</v>
      </c>
      <c r="G54" s="231">
        <v>81247948.400000006</v>
      </c>
      <c r="H54" s="312"/>
      <c r="I54" s="208"/>
      <c r="J54" s="208"/>
    </row>
    <row r="55" spans="1:11" s="209" customFormat="1" ht="23.25" customHeight="1" x14ac:dyDescent="0.3">
      <c r="A55" s="203"/>
      <c r="B55" s="306" t="s">
        <v>256</v>
      </c>
      <c r="C55" s="226"/>
      <c r="D55" s="219"/>
      <c r="E55" s="219"/>
      <c r="F55" s="220">
        <f>SUM(F56)</f>
        <v>65020145.530000001</v>
      </c>
      <c r="G55" s="220">
        <f>SUM(G56)</f>
        <v>71776388.849999994</v>
      </c>
      <c r="H55" s="312"/>
      <c r="I55" s="208"/>
      <c r="J55" s="208"/>
    </row>
    <row r="56" spans="1:11" s="209" customFormat="1" ht="23.25" customHeight="1" x14ac:dyDescent="0.3">
      <c r="A56" s="203"/>
      <c r="B56" s="311" t="s">
        <v>257</v>
      </c>
      <c r="C56" s="234">
        <v>3.87</v>
      </c>
      <c r="D56" s="229">
        <v>44223</v>
      </c>
      <c r="E56" s="229">
        <v>58645</v>
      </c>
      <c r="F56" s="230">
        <v>65020145.530000001</v>
      </c>
      <c r="G56" s="231">
        <v>71776388.849999994</v>
      </c>
      <c r="H56" s="312"/>
      <c r="I56" s="208"/>
      <c r="J56" s="208"/>
    </row>
    <row r="57" spans="1:11" s="209" customFormat="1" ht="18.75" customHeight="1" x14ac:dyDescent="0.3">
      <c r="A57" s="203"/>
      <c r="B57" s="313" t="s">
        <v>122</v>
      </c>
      <c r="C57" s="226"/>
      <c r="D57" s="235"/>
      <c r="E57" s="235"/>
      <c r="F57" s="236">
        <f>SUM(F58:F65)</f>
        <v>107138398.01000001</v>
      </c>
      <c r="G57" s="236">
        <f>SUM(G58:G65)</f>
        <v>118128615.59</v>
      </c>
      <c r="H57" s="208"/>
      <c r="I57" s="208"/>
      <c r="J57" s="208"/>
    </row>
    <row r="58" spans="1:11" s="209" customFormat="1" ht="23.25" customHeight="1" x14ac:dyDescent="0.3">
      <c r="A58" s="203"/>
      <c r="B58" s="311" t="s">
        <v>174</v>
      </c>
      <c r="C58" s="234">
        <v>5.625</v>
      </c>
      <c r="D58" s="229">
        <v>40938</v>
      </c>
      <c r="E58" s="229">
        <v>44767</v>
      </c>
      <c r="F58" s="230">
        <v>10275612.539999999</v>
      </c>
      <c r="G58" s="231">
        <v>11328862.83</v>
      </c>
      <c r="H58" s="310"/>
      <c r="I58" s="208"/>
      <c r="J58" s="208"/>
    </row>
    <row r="59" spans="1:11" s="209" customFormat="1" ht="23.25" customHeight="1" x14ac:dyDescent="0.3">
      <c r="A59" s="203"/>
      <c r="B59" s="311" t="s">
        <v>158</v>
      </c>
      <c r="C59" s="234">
        <v>5.625</v>
      </c>
      <c r="D59" s="229">
        <v>41008</v>
      </c>
      <c r="E59" s="229">
        <v>44767</v>
      </c>
      <c r="F59" s="230">
        <v>45411.41</v>
      </c>
      <c r="G59" s="231">
        <v>49839.02</v>
      </c>
      <c r="H59" s="310"/>
      <c r="I59" s="208"/>
      <c r="J59" s="208"/>
    </row>
    <row r="60" spans="1:11" s="209" customFormat="1" ht="23.25" customHeight="1" x14ac:dyDescent="0.3">
      <c r="A60" s="203"/>
      <c r="B60" s="311" t="s">
        <v>258</v>
      </c>
      <c r="C60" s="234">
        <v>5.625</v>
      </c>
      <c r="D60" s="229">
        <v>41040</v>
      </c>
      <c r="E60" s="229">
        <v>44767</v>
      </c>
      <c r="F60" s="230">
        <v>3190818.76</v>
      </c>
      <c r="G60" s="231">
        <v>3493946.55</v>
      </c>
      <c r="H60" s="310"/>
      <c r="I60" s="208"/>
      <c r="J60" s="208"/>
    </row>
    <row r="61" spans="1:11" s="209" customFormat="1" ht="23.25" customHeight="1" x14ac:dyDescent="0.3">
      <c r="A61" s="203"/>
      <c r="B61" s="311" t="s">
        <v>259</v>
      </c>
      <c r="C61" s="234">
        <v>5.625</v>
      </c>
      <c r="D61" s="229">
        <v>41082</v>
      </c>
      <c r="E61" s="229">
        <v>44767</v>
      </c>
      <c r="F61" s="230">
        <v>14716290.720000001</v>
      </c>
      <c r="G61" s="231">
        <v>16386589.720000001</v>
      </c>
      <c r="H61" s="310"/>
      <c r="I61" s="208"/>
      <c r="J61" s="208"/>
    </row>
    <row r="62" spans="1:11" s="209" customFormat="1" ht="23.25" customHeight="1" x14ac:dyDescent="0.3">
      <c r="A62" s="203"/>
      <c r="B62" s="311" t="s">
        <v>260</v>
      </c>
      <c r="C62" s="234">
        <v>5.625</v>
      </c>
      <c r="D62" s="229">
        <v>41096</v>
      </c>
      <c r="E62" s="229">
        <v>44767</v>
      </c>
      <c r="F62" s="230">
        <v>4421355.1399999997</v>
      </c>
      <c r="G62" s="231">
        <v>4892229.46</v>
      </c>
      <c r="H62" s="310"/>
      <c r="I62" s="208"/>
      <c r="J62" s="208"/>
    </row>
    <row r="63" spans="1:11" s="209" customFormat="1" ht="23.25" customHeight="1" x14ac:dyDescent="0.3">
      <c r="A63" s="203"/>
      <c r="B63" s="311" t="s">
        <v>261</v>
      </c>
      <c r="C63" s="234">
        <v>5.63</v>
      </c>
      <c r="D63" s="229">
        <v>41243</v>
      </c>
      <c r="E63" s="229">
        <v>44767</v>
      </c>
      <c r="F63" s="230">
        <v>5633905.1100000003</v>
      </c>
      <c r="G63" s="231">
        <v>6338143.25</v>
      </c>
      <c r="H63" s="310"/>
      <c r="I63" s="208"/>
      <c r="J63" s="208"/>
    </row>
    <row r="64" spans="1:11" s="209" customFormat="1" ht="23.25" customHeight="1" x14ac:dyDescent="0.3">
      <c r="A64" s="203"/>
      <c r="B64" s="311" t="s">
        <v>179</v>
      </c>
      <c r="C64" s="234">
        <v>5.63</v>
      </c>
      <c r="D64" s="229">
        <v>43238</v>
      </c>
      <c r="E64" s="229">
        <v>44767</v>
      </c>
      <c r="F64" s="230">
        <v>61855004.329999998</v>
      </c>
      <c r="G64" s="231">
        <v>68040504.760000005</v>
      </c>
      <c r="H64" s="310"/>
      <c r="I64" s="208"/>
      <c r="J64" s="208"/>
    </row>
    <row r="65" spans="1:10" s="209" customFormat="1" ht="23.25" customHeight="1" x14ac:dyDescent="0.3">
      <c r="A65" s="203"/>
      <c r="B65" s="311" t="s">
        <v>262</v>
      </c>
      <c r="C65" s="234">
        <v>5.63</v>
      </c>
      <c r="D65" s="229">
        <v>43369</v>
      </c>
      <c r="E65" s="229">
        <v>44767</v>
      </c>
      <c r="F65" s="230">
        <v>7000000</v>
      </c>
      <c r="G65" s="231">
        <v>7598500</v>
      </c>
      <c r="H65" s="310"/>
      <c r="I65" s="208"/>
      <c r="J65" s="208"/>
    </row>
    <row r="66" spans="1:10" s="209" customFormat="1" ht="23.25" customHeight="1" x14ac:dyDescent="0.3">
      <c r="A66" s="203"/>
      <c r="B66" s="313" t="s">
        <v>124</v>
      </c>
      <c r="C66" s="226"/>
      <c r="D66" s="219"/>
      <c r="E66" s="219"/>
      <c r="F66" s="236">
        <f>SUM(F67:F78)</f>
        <v>175339190.25</v>
      </c>
      <c r="G66" s="236">
        <f>SUM(G67:G78)</f>
        <v>188142157.09999999</v>
      </c>
      <c r="H66" s="310"/>
      <c r="I66" s="208"/>
      <c r="J66" s="208"/>
    </row>
    <row r="67" spans="1:10" s="209" customFormat="1" ht="23.25" customHeight="1" x14ac:dyDescent="0.3">
      <c r="A67" s="203"/>
      <c r="B67" s="311" t="s">
        <v>181</v>
      </c>
      <c r="C67" s="234">
        <v>4.95</v>
      </c>
      <c r="D67" s="229">
        <v>41603</v>
      </c>
      <c r="E67" s="229">
        <v>45436</v>
      </c>
      <c r="F67" s="230">
        <v>11721000</v>
      </c>
      <c r="G67" s="231">
        <v>11486580</v>
      </c>
      <c r="H67" s="310"/>
      <c r="I67" s="208"/>
      <c r="J67" s="208"/>
    </row>
    <row r="68" spans="1:10" ht="23.25" customHeight="1" x14ac:dyDescent="0.3">
      <c r="B68" s="311" t="s">
        <v>183</v>
      </c>
      <c r="C68" s="234">
        <v>4.95</v>
      </c>
      <c r="D68" s="229">
        <v>42545</v>
      </c>
      <c r="E68" s="229">
        <v>45436</v>
      </c>
      <c r="F68" s="230">
        <v>14516352.58</v>
      </c>
      <c r="G68" s="231">
        <v>15430882.789999999</v>
      </c>
      <c r="H68" s="251"/>
      <c r="J68" s="207"/>
    </row>
    <row r="69" spans="1:10" ht="23.25" customHeight="1" x14ac:dyDescent="0.3">
      <c r="B69" s="311" t="s">
        <v>183</v>
      </c>
      <c r="C69" s="234">
        <v>4.95</v>
      </c>
      <c r="D69" s="229">
        <v>42545</v>
      </c>
      <c r="E69" s="229">
        <v>45436</v>
      </c>
      <c r="F69" s="230">
        <v>8929854.5</v>
      </c>
      <c r="G69" s="231">
        <v>9483505.4800000004</v>
      </c>
      <c r="H69" s="251"/>
      <c r="J69" s="207"/>
    </row>
    <row r="70" spans="1:10" ht="23.25" customHeight="1" x14ac:dyDescent="0.3">
      <c r="B70" s="311" t="s">
        <v>125</v>
      </c>
      <c r="C70" s="234">
        <v>4.95</v>
      </c>
      <c r="D70" s="229">
        <v>42573</v>
      </c>
      <c r="E70" s="229">
        <v>45436</v>
      </c>
      <c r="F70" s="230">
        <v>8581496.1699999999</v>
      </c>
      <c r="G70" s="231">
        <v>9250852.8699999992</v>
      </c>
      <c r="H70" s="251"/>
      <c r="J70" s="207"/>
    </row>
    <row r="71" spans="1:10" ht="23.25" customHeight="1" x14ac:dyDescent="0.3">
      <c r="B71" s="311" t="s">
        <v>263</v>
      </c>
      <c r="C71" s="234">
        <v>4.95</v>
      </c>
      <c r="D71" s="229">
        <v>42657</v>
      </c>
      <c r="E71" s="229">
        <v>45436</v>
      </c>
      <c r="F71" s="230">
        <v>16500000</v>
      </c>
      <c r="G71" s="231">
        <v>18136800</v>
      </c>
      <c r="H71" s="251"/>
      <c r="J71" s="207"/>
    </row>
    <row r="72" spans="1:10" ht="23.25" customHeight="1" x14ac:dyDescent="0.3">
      <c r="B72" s="311" t="s">
        <v>264</v>
      </c>
      <c r="C72" s="234">
        <v>4.95</v>
      </c>
      <c r="D72" s="229">
        <v>42811</v>
      </c>
      <c r="E72" s="229">
        <v>45436</v>
      </c>
      <c r="F72" s="230">
        <v>11858323.630000001</v>
      </c>
      <c r="G72" s="231">
        <v>12842564.49</v>
      </c>
      <c r="H72" s="251"/>
      <c r="J72" s="207"/>
    </row>
    <row r="73" spans="1:10" ht="23.25" customHeight="1" x14ac:dyDescent="0.3">
      <c r="B73" s="311" t="s">
        <v>265</v>
      </c>
      <c r="C73" s="234">
        <v>4.95</v>
      </c>
      <c r="D73" s="229">
        <v>42909</v>
      </c>
      <c r="E73" s="229">
        <v>45436</v>
      </c>
      <c r="F73" s="230">
        <v>13361963.42</v>
      </c>
      <c r="G73" s="231">
        <v>14471006.380000001</v>
      </c>
      <c r="H73" s="251"/>
      <c r="J73" s="207"/>
    </row>
    <row r="74" spans="1:10" ht="23.25" customHeight="1" x14ac:dyDescent="0.3">
      <c r="B74" s="311" t="s">
        <v>265</v>
      </c>
      <c r="C74" s="234">
        <v>4.95</v>
      </c>
      <c r="D74" s="229">
        <v>42909</v>
      </c>
      <c r="E74" s="229">
        <v>45436</v>
      </c>
      <c r="F74" s="230">
        <v>9850000</v>
      </c>
      <c r="G74" s="231">
        <v>10707935</v>
      </c>
      <c r="H74" s="251"/>
      <c r="J74" s="207"/>
    </row>
    <row r="75" spans="1:10" ht="23.25" customHeight="1" x14ac:dyDescent="0.3">
      <c r="B75" s="311" t="s">
        <v>265</v>
      </c>
      <c r="C75" s="234">
        <v>4.95</v>
      </c>
      <c r="D75" s="229">
        <v>42909</v>
      </c>
      <c r="E75" s="229">
        <v>45436</v>
      </c>
      <c r="F75" s="230">
        <v>9850000</v>
      </c>
      <c r="G75" s="231">
        <v>10707935</v>
      </c>
      <c r="H75" s="251"/>
      <c r="J75" s="207"/>
    </row>
    <row r="76" spans="1:10" ht="23.25" customHeight="1" x14ac:dyDescent="0.3">
      <c r="B76" s="227" t="s">
        <v>266</v>
      </c>
      <c r="C76" s="234">
        <v>4.95</v>
      </c>
      <c r="D76" s="229" t="s">
        <v>267</v>
      </c>
      <c r="E76" s="229">
        <v>45436</v>
      </c>
      <c r="F76" s="230">
        <v>12367734.109999999</v>
      </c>
      <c r="G76" s="231">
        <v>13505565.65</v>
      </c>
      <c r="H76" s="251"/>
      <c r="J76" s="207"/>
    </row>
    <row r="77" spans="1:10" ht="23.25" customHeight="1" x14ac:dyDescent="0.3">
      <c r="B77" s="227" t="s">
        <v>126</v>
      </c>
      <c r="C77" s="234">
        <v>4.95</v>
      </c>
      <c r="D77" s="229">
        <v>43385</v>
      </c>
      <c r="E77" s="229">
        <v>45436</v>
      </c>
      <c r="F77" s="230">
        <v>8925056.5099999998</v>
      </c>
      <c r="G77" s="231">
        <v>9487335.0700000003</v>
      </c>
      <c r="H77" s="251"/>
      <c r="J77" s="207"/>
    </row>
    <row r="78" spans="1:10" ht="23.25" customHeight="1" x14ac:dyDescent="0.3">
      <c r="B78" s="227" t="s">
        <v>268</v>
      </c>
      <c r="C78" s="234">
        <v>4.95</v>
      </c>
      <c r="D78" s="229">
        <v>43630</v>
      </c>
      <c r="E78" s="229">
        <v>45436</v>
      </c>
      <c r="F78" s="230">
        <v>48877409.329999998</v>
      </c>
      <c r="G78" s="231">
        <f>F78*H78/100</f>
        <v>52631194.369999997</v>
      </c>
      <c r="H78" s="232">
        <v>107.68</v>
      </c>
      <c r="J78" s="207"/>
    </row>
    <row r="79" spans="1:10" s="209" customFormat="1" ht="26.25" customHeight="1" x14ac:dyDescent="0.3">
      <c r="A79" s="203"/>
      <c r="B79" s="313" t="s">
        <v>269</v>
      </c>
      <c r="C79" s="233"/>
      <c r="D79" s="219"/>
      <c r="E79" s="219"/>
      <c r="F79" s="220">
        <f>SUM(F80)</f>
        <v>88196879.25</v>
      </c>
      <c r="G79" s="220">
        <f>SUM(G80)</f>
        <v>88196879.25</v>
      </c>
      <c r="H79" s="310"/>
      <c r="I79" s="208"/>
      <c r="J79" s="208"/>
    </row>
    <row r="80" spans="1:10" s="209" customFormat="1" ht="34.5" customHeight="1" x14ac:dyDescent="0.3">
      <c r="A80" s="203"/>
      <c r="B80" s="316" t="s">
        <v>270</v>
      </c>
      <c r="C80" s="228">
        <v>3</v>
      </c>
      <c r="D80" s="229">
        <v>44260</v>
      </c>
      <c r="E80" s="229">
        <v>47479</v>
      </c>
      <c r="F80" s="230">
        <v>88196879.25</v>
      </c>
      <c r="G80" s="230">
        <v>88196879.25</v>
      </c>
      <c r="H80" s="310"/>
      <c r="I80" s="208"/>
      <c r="J80" s="208"/>
    </row>
    <row r="81" spans="1:10" s="209" customFormat="1" ht="35.25" customHeight="1" x14ac:dyDescent="0.3">
      <c r="A81" s="203"/>
      <c r="B81" s="313" t="s">
        <v>271</v>
      </c>
      <c r="C81" s="233"/>
      <c r="D81" s="219"/>
      <c r="E81" s="219"/>
      <c r="F81" s="220">
        <f>SUM(F82:F83)</f>
        <v>62100000</v>
      </c>
      <c r="G81" s="220">
        <f>SUM(G82:G83)</f>
        <v>62084670</v>
      </c>
      <c r="H81" s="310"/>
      <c r="I81" s="208"/>
      <c r="J81" s="208"/>
    </row>
    <row r="82" spans="1:10" s="209" customFormat="1" ht="22.5" customHeight="1" x14ac:dyDescent="0.3">
      <c r="A82" s="203"/>
      <c r="B82" s="240" t="s">
        <v>129</v>
      </c>
      <c r="C82" s="241">
        <v>3.3620000000000001</v>
      </c>
      <c r="D82" s="229">
        <v>44377</v>
      </c>
      <c r="E82" s="229">
        <v>48029</v>
      </c>
      <c r="F82" s="242">
        <v>60000000</v>
      </c>
      <c r="G82" s="242">
        <v>60000000</v>
      </c>
      <c r="H82" s="310"/>
      <c r="I82" s="208"/>
      <c r="J82" s="208"/>
    </row>
    <row r="83" spans="1:10" s="209" customFormat="1" ht="22.5" customHeight="1" x14ac:dyDescent="0.3">
      <c r="A83" s="203"/>
      <c r="B83" s="240" t="s">
        <v>129</v>
      </c>
      <c r="C83" s="241">
        <v>3.3620000000000001</v>
      </c>
      <c r="D83" s="229">
        <v>44377</v>
      </c>
      <c r="E83" s="229">
        <v>48029</v>
      </c>
      <c r="F83" s="242">
        <v>2100000</v>
      </c>
      <c r="G83" s="242">
        <v>2084670</v>
      </c>
      <c r="H83" s="310"/>
      <c r="I83" s="208"/>
      <c r="J83" s="208"/>
    </row>
    <row r="84" spans="1:10" s="254" customFormat="1" ht="23.25" customHeight="1" x14ac:dyDescent="0.3">
      <c r="A84" s="252"/>
      <c r="B84" s="313" t="s">
        <v>206</v>
      </c>
      <c r="C84" s="317"/>
      <c r="D84" s="318"/>
      <c r="E84" s="318"/>
      <c r="F84" s="220">
        <f>SUM(F85:F90)</f>
        <v>125150256.38</v>
      </c>
      <c r="G84" s="220">
        <f>SUM(G85:G90)</f>
        <v>124395267.87</v>
      </c>
      <c r="H84" s="319"/>
      <c r="I84" s="320"/>
      <c r="J84" s="320"/>
    </row>
    <row r="85" spans="1:10" s="254" customFormat="1" ht="23.25" customHeight="1" x14ac:dyDescent="0.3">
      <c r="A85" s="252"/>
      <c r="B85" s="237" t="s">
        <v>207</v>
      </c>
      <c r="C85" s="245">
        <v>3</v>
      </c>
      <c r="D85" s="229">
        <v>43182</v>
      </c>
      <c r="E85" s="229">
        <v>45198</v>
      </c>
      <c r="F85" s="246">
        <v>43383312.270000003</v>
      </c>
      <c r="G85" s="247">
        <v>43326913.960000001</v>
      </c>
      <c r="H85" s="319"/>
      <c r="I85" s="320"/>
      <c r="J85" s="320"/>
    </row>
    <row r="86" spans="1:10" s="254" customFormat="1" ht="23.25" customHeight="1" x14ac:dyDescent="0.3">
      <c r="A86" s="252"/>
      <c r="B86" s="237" t="s">
        <v>132</v>
      </c>
      <c r="C86" s="245">
        <v>3</v>
      </c>
      <c r="D86" s="229">
        <v>43245</v>
      </c>
      <c r="E86" s="229">
        <v>45198</v>
      </c>
      <c r="F86" s="246">
        <v>1288995.04</v>
      </c>
      <c r="G86" s="247">
        <v>1279456.48</v>
      </c>
      <c r="H86" s="319"/>
      <c r="I86" s="320"/>
      <c r="J86" s="320"/>
    </row>
    <row r="87" spans="1:10" s="254" customFormat="1" ht="23.25" customHeight="1" x14ac:dyDescent="0.3">
      <c r="A87" s="252"/>
      <c r="B87" s="237" t="s">
        <v>208</v>
      </c>
      <c r="C87" s="245">
        <v>3</v>
      </c>
      <c r="D87" s="229">
        <v>43280</v>
      </c>
      <c r="E87" s="229">
        <v>45198</v>
      </c>
      <c r="F87" s="246">
        <v>12857047.48</v>
      </c>
      <c r="G87" s="247">
        <v>12722048.48</v>
      </c>
      <c r="H87" s="319"/>
      <c r="I87" s="320"/>
      <c r="J87" s="320"/>
    </row>
    <row r="88" spans="1:10" s="254" customFormat="1" ht="23.25" customHeight="1" x14ac:dyDescent="0.3">
      <c r="A88" s="252"/>
      <c r="B88" s="237" t="s">
        <v>133</v>
      </c>
      <c r="C88" s="245">
        <v>3</v>
      </c>
      <c r="D88" s="229">
        <v>43336</v>
      </c>
      <c r="E88" s="229">
        <v>45198</v>
      </c>
      <c r="F88" s="246">
        <v>22437187.57</v>
      </c>
      <c r="G88" s="247">
        <f>F88*0.9895</f>
        <v>22201597.100000001</v>
      </c>
      <c r="H88" s="319"/>
      <c r="I88" s="320"/>
      <c r="J88" s="320"/>
    </row>
    <row r="89" spans="1:10" s="254" customFormat="1" ht="23.25" customHeight="1" x14ac:dyDescent="0.3">
      <c r="A89" s="252"/>
      <c r="B89" s="237" t="s">
        <v>272</v>
      </c>
      <c r="C89" s="245">
        <v>3</v>
      </c>
      <c r="D89" s="229">
        <v>43364</v>
      </c>
      <c r="E89" s="229">
        <v>45198</v>
      </c>
      <c r="F89" s="246">
        <v>24388137.170000002</v>
      </c>
      <c r="G89" s="247">
        <v>24132061.73</v>
      </c>
      <c r="H89" s="319"/>
      <c r="I89" s="320"/>
      <c r="J89" s="320"/>
    </row>
    <row r="90" spans="1:10" s="254" customFormat="1" ht="23.25" customHeight="1" x14ac:dyDescent="0.3">
      <c r="A90" s="252"/>
      <c r="B90" s="237" t="s">
        <v>273</v>
      </c>
      <c r="C90" s="245">
        <v>3</v>
      </c>
      <c r="D90" s="229">
        <v>43609</v>
      </c>
      <c r="E90" s="229">
        <v>45198</v>
      </c>
      <c r="F90" s="246">
        <f>795576.85+20000000</f>
        <v>20795576.850000001</v>
      </c>
      <c r="G90" s="247">
        <f>793190.12+19940000</f>
        <v>20733190.120000001</v>
      </c>
      <c r="H90" s="319"/>
      <c r="I90" s="320"/>
      <c r="J90" s="320"/>
    </row>
    <row r="91" spans="1:10" s="254" customFormat="1" ht="23.25" customHeight="1" x14ac:dyDescent="0.3">
      <c r="A91" s="252"/>
      <c r="B91" s="313" t="s">
        <v>274</v>
      </c>
      <c r="C91" s="278"/>
      <c r="D91" s="314"/>
      <c r="E91" s="314"/>
      <c r="F91" s="220">
        <f>SUM(F92)</f>
        <v>40133225.560000002</v>
      </c>
      <c r="G91" s="220">
        <f>SUM(G92)</f>
        <v>40071821.729999997</v>
      </c>
      <c r="H91" s="319"/>
      <c r="I91" s="320"/>
      <c r="J91" s="320"/>
    </row>
    <row r="92" spans="1:10" s="254" customFormat="1" ht="23.25" customHeight="1" x14ac:dyDescent="0.3">
      <c r="A92" s="252"/>
      <c r="B92" s="237" t="s">
        <v>136</v>
      </c>
      <c r="C92" s="245">
        <v>3.75</v>
      </c>
      <c r="D92" s="229">
        <v>43572</v>
      </c>
      <c r="E92" s="229">
        <v>46129</v>
      </c>
      <c r="F92" s="246">
        <v>40133225.560000002</v>
      </c>
      <c r="G92" s="247">
        <v>40071821.729999997</v>
      </c>
      <c r="H92" s="319"/>
      <c r="I92" s="320"/>
      <c r="J92" s="320"/>
    </row>
    <row r="93" spans="1:10" s="209" customFormat="1" ht="22" customHeight="1" x14ac:dyDescent="0.3">
      <c r="A93" s="203"/>
      <c r="B93" s="321" t="s">
        <v>275</v>
      </c>
      <c r="C93" s="304"/>
      <c r="D93" s="219"/>
      <c r="E93" s="219"/>
      <c r="F93" s="220">
        <f>SUM(F94:F94)</f>
        <v>20640000</v>
      </c>
      <c r="G93" s="220">
        <f>SUM(G94:G94)</f>
        <v>20640000</v>
      </c>
      <c r="H93" s="208"/>
      <c r="I93" s="208"/>
      <c r="J93" s="208"/>
    </row>
    <row r="94" spans="1:10" s="214" customFormat="1" ht="40" customHeight="1" x14ac:dyDescent="0.3">
      <c r="A94" s="210"/>
      <c r="B94" s="250" t="s">
        <v>276</v>
      </c>
      <c r="C94" s="322">
        <v>3.85</v>
      </c>
      <c r="D94" s="229">
        <v>43588</v>
      </c>
      <c r="E94" s="229">
        <v>46145</v>
      </c>
      <c r="F94" s="323">
        <v>20640000</v>
      </c>
      <c r="G94" s="323">
        <v>20640000</v>
      </c>
      <c r="H94" s="213"/>
      <c r="I94" s="213"/>
      <c r="J94" s="213"/>
    </row>
    <row r="95" spans="1:10" s="214" customFormat="1" ht="29.25" customHeight="1" x14ac:dyDescent="0.3">
      <c r="A95" s="210"/>
      <c r="B95" s="321" t="s">
        <v>277</v>
      </c>
      <c r="C95" s="226"/>
      <c r="D95" s="235"/>
      <c r="E95" s="235"/>
      <c r="F95" s="249">
        <f>SUM(F96:F98)</f>
        <v>125462855.69</v>
      </c>
      <c r="G95" s="220">
        <f>SUM(G96:G98)</f>
        <v>125462855.69</v>
      </c>
      <c r="H95" s="213"/>
      <c r="I95" s="213"/>
      <c r="J95" s="213"/>
    </row>
    <row r="96" spans="1:10" s="214" customFormat="1" ht="35.25" customHeight="1" x14ac:dyDescent="0.3">
      <c r="A96" s="210"/>
      <c r="B96" s="250" t="s">
        <v>160</v>
      </c>
      <c r="C96" s="234">
        <v>3</v>
      </c>
      <c r="D96" s="229">
        <v>43712</v>
      </c>
      <c r="E96" s="229">
        <v>47365</v>
      </c>
      <c r="F96" s="230">
        <v>43962855.689999998</v>
      </c>
      <c r="G96" s="230">
        <v>43962855.689999998</v>
      </c>
      <c r="H96" s="213"/>
      <c r="I96" s="213"/>
      <c r="J96" s="213"/>
    </row>
    <row r="97" spans="1:10" s="214" customFormat="1" ht="35.25" customHeight="1" x14ac:dyDescent="0.3">
      <c r="A97" s="210"/>
      <c r="B97" s="250" t="s">
        <v>278</v>
      </c>
      <c r="C97" s="234">
        <v>3.25</v>
      </c>
      <c r="D97" s="229" t="s">
        <v>279</v>
      </c>
      <c r="E97" s="229" t="s">
        <v>280</v>
      </c>
      <c r="F97" s="230">
        <v>20000000</v>
      </c>
      <c r="G97" s="230">
        <v>20000000</v>
      </c>
      <c r="H97" s="213"/>
      <c r="I97" s="213"/>
      <c r="J97" s="213"/>
    </row>
    <row r="98" spans="1:10" s="214" customFormat="1" ht="40" customHeight="1" x14ac:dyDescent="0.3">
      <c r="A98" s="210"/>
      <c r="B98" s="250" t="s">
        <v>281</v>
      </c>
      <c r="C98" s="234">
        <v>3.65</v>
      </c>
      <c r="D98" s="229" t="s">
        <v>282</v>
      </c>
      <c r="E98" s="229" t="s">
        <v>283</v>
      </c>
      <c r="F98" s="230">
        <v>61500000</v>
      </c>
      <c r="G98" s="230">
        <v>61500000</v>
      </c>
      <c r="H98" s="213"/>
      <c r="I98" s="213"/>
      <c r="J98" s="213"/>
    </row>
    <row r="99" spans="1:10" s="214" customFormat="1" ht="34.15" customHeight="1" x14ac:dyDescent="0.3">
      <c r="A99" s="210"/>
      <c r="B99" s="248" t="s">
        <v>284</v>
      </c>
      <c r="C99" s="324"/>
      <c r="D99" s="229"/>
      <c r="E99" s="229"/>
      <c r="F99" s="216">
        <f>F103+F121+F124+F163+F167+F156+F160+F172+F183+F204+F211+F213+F100+F198+F201</f>
        <v>2430660125.2199998</v>
      </c>
      <c r="G99" s="216">
        <f>G103+G121+G124+G163+G167+G156+G160+G172+G183+G204+G211+G213+G100+G198+G201</f>
        <v>2510580574.71</v>
      </c>
      <c r="H99" s="213"/>
      <c r="I99" s="213"/>
      <c r="J99" s="213"/>
    </row>
    <row r="100" spans="1:10" s="214" customFormat="1" ht="23.25" hidden="1" customHeight="1" x14ac:dyDescent="0.3">
      <c r="A100" s="210"/>
      <c r="B100" s="306"/>
      <c r="C100" s="226"/>
      <c r="D100" s="219"/>
      <c r="E100" s="219"/>
      <c r="F100" s="220"/>
      <c r="G100" s="220"/>
      <c r="H100" s="213"/>
      <c r="I100" s="213"/>
      <c r="J100" s="213"/>
    </row>
    <row r="101" spans="1:10" s="214" customFormat="1" ht="23.25" hidden="1" customHeight="1" x14ac:dyDescent="0.3">
      <c r="A101" s="210"/>
      <c r="B101" s="227"/>
      <c r="C101" s="234"/>
      <c r="D101" s="229"/>
      <c r="E101" s="229"/>
      <c r="F101" s="230"/>
      <c r="G101" s="231"/>
      <c r="H101" s="213"/>
      <c r="I101" s="213"/>
      <c r="J101" s="213"/>
    </row>
    <row r="102" spans="1:10" s="214" customFormat="1" ht="23.25" hidden="1" customHeight="1" x14ac:dyDescent="0.3">
      <c r="A102" s="210"/>
      <c r="B102" s="227"/>
      <c r="C102" s="234"/>
      <c r="D102" s="229"/>
      <c r="E102" s="229"/>
      <c r="F102" s="230"/>
      <c r="G102" s="231"/>
      <c r="H102" s="213"/>
      <c r="I102" s="213"/>
      <c r="J102" s="213"/>
    </row>
    <row r="103" spans="1:10" s="209" customFormat="1" ht="23.25" customHeight="1" x14ac:dyDescent="0.3">
      <c r="A103" s="203"/>
      <c r="B103" s="321" t="s">
        <v>103</v>
      </c>
      <c r="C103" s="234"/>
      <c r="D103" s="229"/>
      <c r="E103" s="229"/>
      <c r="F103" s="220">
        <f>SUM(F104:F120)</f>
        <v>43985397.630000003</v>
      </c>
      <c r="G103" s="220">
        <f>SUM(G104:G120)</f>
        <v>42132572.450000003</v>
      </c>
      <c r="H103" s="307"/>
      <c r="I103" s="208"/>
      <c r="J103" s="208"/>
    </row>
    <row r="104" spans="1:10" s="209" customFormat="1" ht="23.25" customHeight="1" x14ac:dyDescent="0.3">
      <c r="A104" s="203"/>
      <c r="B104" s="311" t="s">
        <v>285</v>
      </c>
      <c r="C104" s="234">
        <v>7.125</v>
      </c>
      <c r="D104" s="229">
        <v>39742</v>
      </c>
      <c r="E104" s="229">
        <v>46051</v>
      </c>
      <c r="F104" s="230">
        <v>390211.13</v>
      </c>
      <c r="G104" s="231">
        <v>356067.65</v>
      </c>
      <c r="H104" s="310"/>
      <c r="I104" s="310"/>
      <c r="J104" s="310"/>
    </row>
    <row r="105" spans="1:10" s="209" customFormat="1" ht="23.25" customHeight="1" x14ac:dyDescent="0.3">
      <c r="A105" s="203"/>
      <c r="B105" s="311" t="s">
        <v>286</v>
      </c>
      <c r="C105" s="234">
        <v>7.125</v>
      </c>
      <c r="D105" s="229">
        <v>39736</v>
      </c>
      <c r="E105" s="229">
        <v>46051</v>
      </c>
      <c r="F105" s="230">
        <v>705725.7</v>
      </c>
      <c r="G105" s="231">
        <v>670439.41</v>
      </c>
      <c r="H105" s="310"/>
      <c r="I105" s="310"/>
      <c r="J105" s="310"/>
    </row>
    <row r="106" spans="1:10" s="209" customFormat="1" ht="23.25" customHeight="1" x14ac:dyDescent="0.3">
      <c r="A106" s="203"/>
      <c r="B106" s="311" t="s">
        <v>287</v>
      </c>
      <c r="C106" s="234">
        <v>7.125</v>
      </c>
      <c r="D106" s="229">
        <v>39742</v>
      </c>
      <c r="E106" s="229">
        <v>46051</v>
      </c>
      <c r="F106" s="230">
        <v>2867817.06</v>
      </c>
      <c r="G106" s="231">
        <v>2616883.0699999998</v>
      </c>
      <c r="H106" s="310"/>
      <c r="I106" s="310"/>
      <c r="J106" s="310"/>
    </row>
    <row r="107" spans="1:10" s="209" customFormat="1" ht="23.25" customHeight="1" x14ac:dyDescent="0.3">
      <c r="A107" s="203"/>
      <c r="B107" s="311" t="s">
        <v>288</v>
      </c>
      <c r="C107" s="234">
        <v>7.125</v>
      </c>
      <c r="D107" s="229">
        <v>39736</v>
      </c>
      <c r="E107" s="229">
        <v>46051</v>
      </c>
      <c r="F107" s="230">
        <v>2854423.98</v>
      </c>
      <c r="G107" s="231">
        <v>2711702.78</v>
      </c>
      <c r="H107" s="310"/>
      <c r="I107" s="310"/>
      <c r="J107" s="310"/>
    </row>
    <row r="108" spans="1:10" s="209" customFormat="1" ht="23.25" customHeight="1" x14ac:dyDescent="0.3">
      <c r="A108" s="203"/>
      <c r="B108" s="311" t="s">
        <v>289</v>
      </c>
      <c r="C108" s="234">
        <v>7.125</v>
      </c>
      <c r="D108" s="229">
        <v>39743</v>
      </c>
      <c r="E108" s="229">
        <v>46051</v>
      </c>
      <c r="F108" s="230">
        <v>2098593.77</v>
      </c>
      <c r="G108" s="231">
        <v>1909720.33</v>
      </c>
      <c r="H108" s="310"/>
      <c r="I108" s="310"/>
      <c r="J108" s="310"/>
    </row>
    <row r="109" spans="1:10" s="209" customFormat="1" ht="23.25" customHeight="1" x14ac:dyDescent="0.3">
      <c r="A109" s="203"/>
      <c r="B109" s="311" t="s">
        <v>290</v>
      </c>
      <c r="C109" s="234">
        <v>7.125</v>
      </c>
      <c r="D109" s="229">
        <v>39841</v>
      </c>
      <c r="E109" s="229">
        <v>46051</v>
      </c>
      <c r="F109" s="230">
        <v>2043876.55</v>
      </c>
      <c r="G109" s="231">
        <v>1972340.88</v>
      </c>
      <c r="H109" s="310"/>
      <c r="I109" s="310"/>
      <c r="J109" s="310"/>
    </row>
    <row r="110" spans="1:10" s="209" customFormat="1" ht="23.25" customHeight="1" x14ac:dyDescent="0.3">
      <c r="A110" s="203"/>
      <c r="B110" s="311" t="s">
        <v>291</v>
      </c>
      <c r="C110" s="234">
        <v>7.125</v>
      </c>
      <c r="D110" s="229">
        <v>39841</v>
      </c>
      <c r="E110" s="229">
        <v>46051</v>
      </c>
      <c r="F110" s="230">
        <v>5376914.7699999996</v>
      </c>
      <c r="G110" s="231">
        <v>5188722.75</v>
      </c>
      <c r="H110" s="310"/>
      <c r="I110" s="310"/>
      <c r="J110" s="310"/>
    </row>
    <row r="111" spans="1:10" s="209" customFormat="1" ht="23.25" customHeight="1" x14ac:dyDescent="0.3">
      <c r="A111" s="203"/>
      <c r="B111" s="311" t="s">
        <v>292</v>
      </c>
      <c r="C111" s="234">
        <v>7.125</v>
      </c>
      <c r="D111" s="229">
        <v>39841</v>
      </c>
      <c r="E111" s="229">
        <v>46051</v>
      </c>
      <c r="F111" s="230">
        <v>323378.52</v>
      </c>
      <c r="G111" s="231">
        <v>312060.27</v>
      </c>
      <c r="H111" s="310"/>
      <c r="I111" s="310"/>
      <c r="J111" s="310"/>
    </row>
    <row r="112" spans="1:10" s="209" customFormat="1" ht="23.25" customHeight="1" x14ac:dyDescent="0.3">
      <c r="A112" s="203"/>
      <c r="B112" s="311" t="s">
        <v>293</v>
      </c>
      <c r="C112" s="234">
        <v>7.125</v>
      </c>
      <c r="D112" s="229">
        <v>39853</v>
      </c>
      <c r="E112" s="229">
        <v>46051</v>
      </c>
      <c r="F112" s="230">
        <v>1994432.88</v>
      </c>
      <c r="G112" s="231">
        <v>1934599.89</v>
      </c>
      <c r="H112" s="310"/>
      <c r="I112" s="310"/>
      <c r="J112" s="310"/>
    </row>
    <row r="113" spans="1:10" s="209" customFormat="1" ht="23.25" customHeight="1" x14ac:dyDescent="0.3">
      <c r="A113" s="203"/>
      <c r="B113" s="240" t="s">
        <v>294</v>
      </c>
      <c r="C113" s="241">
        <v>7.125</v>
      </c>
      <c r="D113" s="229">
        <v>39826</v>
      </c>
      <c r="E113" s="229">
        <v>46051</v>
      </c>
      <c r="F113" s="230">
        <v>331700</v>
      </c>
      <c r="G113" s="231">
        <v>320090.5</v>
      </c>
      <c r="H113" s="310"/>
      <c r="I113" s="310"/>
      <c r="J113" s="310"/>
    </row>
    <row r="114" spans="1:10" s="209" customFormat="1" ht="23.25" customHeight="1" x14ac:dyDescent="0.3">
      <c r="A114" s="203"/>
      <c r="B114" s="240" t="s">
        <v>295</v>
      </c>
      <c r="C114" s="241">
        <v>7.125</v>
      </c>
      <c r="D114" s="229">
        <v>39829</v>
      </c>
      <c r="E114" s="229">
        <v>46051</v>
      </c>
      <c r="F114" s="230">
        <v>5000000</v>
      </c>
      <c r="G114" s="231">
        <v>4862500</v>
      </c>
      <c r="H114" s="310"/>
      <c r="I114" s="310"/>
      <c r="J114" s="310"/>
    </row>
    <row r="115" spans="1:10" s="209" customFormat="1" ht="23.25" customHeight="1" x14ac:dyDescent="0.3">
      <c r="A115" s="203"/>
      <c r="B115" s="240" t="s">
        <v>295</v>
      </c>
      <c r="C115" s="241">
        <v>7.125</v>
      </c>
      <c r="D115" s="229">
        <v>39833</v>
      </c>
      <c r="E115" s="229">
        <v>46051</v>
      </c>
      <c r="F115" s="230">
        <v>3500000</v>
      </c>
      <c r="G115" s="231">
        <v>3412500</v>
      </c>
      <c r="H115" s="310"/>
      <c r="I115" s="310"/>
      <c r="J115" s="310"/>
    </row>
    <row r="116" spans="1:10" s="209" customFormat="1" ht="23.25" customHeight="1" x14ac:dyDescent="0.3">
      <c r="A116" s="203"/>
      <c r="B116" s="240" t="s">
        <v>106</v>
      </c>
      <c r="C116" s="241">
        <v>7.125</v>
      </c>
      <c r="D116" s="229">
        <v>39742</v>
      </c>
      <c r="E116" s="229">
        <v>46051</v>
      </c>
      <c r="F116" s="230">
        <v>54473.79</v>
      </c>
      <c r="G116" s="231">
        <v>49707.33</v>
      </c>
      <c r="H116" s="310"/>
      <c r="I116" s="310"/>
      <c r="J116" s="310"/>
    </row>
    <row r="117" spans="1:10" s="209" customFormat="1" ht="23.25" customHeight="1" x14ac:dyDescent="0.3">
      <c r="A117" s="203"/>
      <c r="B117" s="240" t="s">
        <v>109</v>
      </c>
      <c r="C117" s="241">
        <v>7.125</v>
      </c>
      <c r="D117" s="229">
        <v>39841</v>
      </c>
      <c r="E117" s="229">
        <v>46051</v>
      </c>
      <c r="F117" s="230">
        <v>2809282.36</v>
      </c>
      <c r="G117" s="231">
        <v>2710957.48</v>
      </c>
      <c r="H117" s="310"/>
      <c r="I117" s="310"/>
      <c r="J117" s="310"/>
    </row>
    <row r="118" spans="1:10" s="209" customFormat="1" ht="23.25" customHeight="1" x14ac:dyDescent="0.3">
      <c r="A118" s="203"/>
      <c r="B118" s="240" t="s">
        <v>296</v>
      </c>
      <c r="C118" s="241">
        <v>7.125</v>
      </c>
      <c r="D118" s="229">
        <v>39853</v>
      </c>
      <c r="E118" s="229">
        <v>46051</v>
      </c>
      <c r="F118" s="230">
        <v>5634567.1200000001</v>
      </c>
      <c r="G118" s="231">
        <v>5465530.1100000003</v>
      </c>
      <c r="H118" s="310"/>
      <c r="I118" s="310"/>
      <c r="J118" s="310"/>
    </row>
    <row r="119" spans="1:10" s="209" customFormat="1" ht="23.25" customHeight="1" x14ac:dyDescent="0.3">
      <c r="A119" s="203"/>
      <c r="B119" s="240" t="s">
        <v>297</v>
      </c>
      <c r="C119" s="241">
        <v>7.125</v>
      </c>
      <c r="D119" s="229">
        <v>39882</v>
      </c>
      <c r="E119" s="229">
        <v>46051</v>
      </c>
      <c r="F119" s="230">
        <v>2500000</v>
      </c>
      <c r="G119" s="231">
        <v>2400000</v>
      </c>
      <c r="H119" s="310"/>
      <c r="I119" s="310"/>
      <c r="J119" s="310"/>
    </row>
    <row r="120" spans="1:10" s="209" customFormat="1" ht="23.25" customHeight="1" x14ac:dyDescent="0.3">
      <c r="A120" s="203"/>
      <c r="B120" s="240" t="s">
        <v>298</v>
      </c>
      <c r="C120" s="241">
        <v>7.125</v>
      </c>
      <c r="D120" s="229">
        <v>39883</v>
      </c>
      <c r="E120" s="229">
        <v>46051</v>
      </c>
      <c r="F120" s="230">
        <v>5500000</v>
      </c>
      <c r="G120" s="231">
        <v>5238750</v>
      </c>
      <c r="H120" s="310"/>
      <c r="I120" s="310"/>
      <c r="J120" s="310"/>
    </row>
    <row r="121" spans="1:10" s="209" customFormat="1" ht="23.25" customHeight="1" x14ac:dyDescent="0.3">
      <c r="A121" s="203"/>
      <c r="B121" s="321" t="s">
        <v>299</v>
      </c>
      <c r="C121" s="234"/>
      <c r="D121" s="229"/>
      <c r="E121" s="229"/>
      <c r="F121" s="220">
        <f>SUM(F122:F123)</f>
        <v>59992251.719999999</v>
      </c>
      <c r="G121" s="220">
        <f>SUM(G122:G123)</f>
        <v>59888709.649999999</v>
      </c>
      <c r="H121" s="310"/>
      <c r="I121" s="310"/>
      <c r="J121" s="310"/>
    </row>
    <row r="122" spans="1:10" s="209" customFormat="1" ht="23.25" customHeight="1" x14ac:dyDescent="0.3">
      <c r="A122" s="203"/>
      <c r="B122" s="311" t="s">
        <v>300</v>
      </c>
      <c r="C122" s="325">
        <v>2.2519999999999998</v>
      </c>
      <c r="D122" s="229" t="s">
        <v>301</v>
      </c>
      <c r="E122" s="229">
        <v>48486</v>
      </c>
      <c r="F122" s="230">
        <v>49992251.719999999</v>
      </c>
      <c r="G122" s="231">
        <v>50263709.649999999</v>
      </c>
      <c r="H122" s="310"/>
      <c r="I122" s="310"/>
      <c r="J122" s="310"/>
    </row>
    <row r="123" spans="1:10" s="209" customFormat="1" ht="23.25" customHeight="1" x14ac:dyDescent="0.3">
      <c r="A123" s="203"/>
      <c r="B123" s="311" t="s">
        <v>302</v>
      </c>
      <c r="C123" s="234">
        <v>2.25</v>
      </c>
      <c r="D123" s="229">
        <v>44322</v>
      </c>
      <c r="E123" s="229">
        <v>48486</v>
      </c>
      <c r="F123" s="230">
        <v>10000000</v>
      </c>
      <c r="G123" s="231">
        <v>9625000</v>
      </c>
      <c r="H123" s="310"/>
      <c r="I123" s="208"/>
      <c r="J123" s="208"/>
    </row>
    <row r="124" spans="1:10" s="209" customFormat="1" ht="23.25" customHeight="1" x14ac:dyDescent="0.3">
      <c r="A124" s="203"/>
      <c r="B124" s="321" t="s">
        <v>110</v>
      </c>
      <c r="C124" s="234"/>
      <c r="D124" s="229"/>
      <c r="E124" s="229"/>
      <c r="F124" s="220">
        <f>SUM(F125:F155)</f>
        <v>170598615.47</v>
      </c>
      <c r="G124" s="220">
        <f>SUM(G125:G155)</f>
        <v>173633936.81</v>
      </c>
      <c r="H124" s="310"/>
      <c r="I124" s="310"/>
      <c r="J124" s="310"/>
    </row>
    <row r="125" spans="1:10" s="209" customFormat="1" ht="23.25" customHeight="1" x14ac:dyDescent="0.3">
      <c r="A125" s="203"/>
      <c r="B125" s="311" t="s">
        <v>303</v>
      </c>
      <c r="C125" s="234">
        <v>6.7</v>
      </c>
      <c r="D125" s="229">
        <v>39636</v>
      </c>
      <c r="E125" s="229">
        <v>49700</v>
      </c>
      <c r="F125" s="230">
        <f>3011474.59+488525.41</f>
        <v>3500000</v>
      </c>
      <c r="G125" s="231">
        <f>3064175.39+497074.61</f>
        <v>3561250</v>
      </c>
      <c r="H125" s="312"/>
      <c r="I125" s="208"/>
      <c r="J125" s="208"/>
    </row>
    <row r="126" spans="1:10" s="209" customFormat="1" ht="23.25" customHeight="1" x14ac:dyDescent="0.3">
      <c r="A126" s="203"/>
      <c r="B126" s="311" t="s">
        <v>304</v>
      </c>
      <c r="C126" s="234">
        <v>6.7</v>
      </c>
      <c r="D126" s="229">
        <v>39645</v>
      </c>
      <c r="E126" s="229">
        <v>49700</v>
      </c>
      <c r="F126" s="230">
        <f>6022949.17+977050.83</f>
        <v>7000000</v>
      </c>
      <c r="G126" s="231">
        <f>6135879.47+995370.53</f>
        <v>7131250</v>
      </c>
      <c r="H126" s="312"/>
      <c r="I126" s="208"/>
      <c r="J126" s="208"/>
    </row>
    <row r="127" spans="1:10" s="209" customFormat="1" ht="23.25" customHeight="1" x14ac:dyDescent="0.3">
      <c r="A127" s="203"/>
      <c r="B127" s="311" t="s">
        <v>305</v>
      </c>
      <c r="C127" s="234">
        <v>6.7</v>
      </c>
      <c r="D127" s="229">
        <v>40218</v>
      </c>
      <c r="E127" s="229">
        <v>49700</v>
      </c>
      <c r="F127" s="230">
        <f>388660.89+97510.12</f>
        <v>486171.01</v>
      </c>
      <c r="G127" s="231">
        <f>396434.11+99460.32</f>
        <v>495894.43</v>
      </c>
      <c r="H127" s="312"/>
      <c r="I127" s="208"/>
      <c r="J127" s="208"/>
    </row>
    <row r="128" spans="1:10" s="209" customFormat="1" ht="23.25" customHeight="1" x14ac:dyDescent="0.3">
      <c r="A128" s="203"/>
      <c r="B128" s="311" t="s">
        <v>306</v>
      </c>
      <c r="C128" s="234">
        <v>6.7</v>
      </c>
      <c r="D128" s="229">
        <v>39714</v>
      </c>
      <c r="E128" s="229">
        <v>49700</v>
      </c>
      <c r="F128" s="230">
        <f>807677.43+92322.57</f>
        <v>900000</v>
      </c>
      <c r="G128" s="231">
        <f>801619.85+91630.15</f>
        <v>893250</v>
      </c>
      <c r="H128" s="312"/>
      <c r="I128" s="208"/>
      <c r="J128" s="208"/>
    </row>
    <row r="129" spans="1:10" s="209" customFormat="1" ht="23.25" customHeight="1" x14ac:dyDescent="0.3">
      <c r="A129" s="203"/>
      <c r="B129" s="311" t="s">
        <v>307</v>
      </c>
      <c r="C129" s="234">
        <v>6.7</v>
      </c>
      <c r="D129" s="229">
        <v>40218</v>
      </c>
      <c r="E129" s="229">
        <v>49700</v>
      </c>
      <c r="F129" s="230">
        <f>317634.86+32137.75</f>
        <v>349772.61</v>
      </c>
      <c r="G129" s="231">
        <f>323987.56+32780.5</f>
        <v>356768.06</v>
      </c>
      <c r="H129" s="312"/>
      <c r="I129" s="208"/>
      <c r="J129" s="208"/>
    </row>
    <row r="130" spans="1:10" s="209" customFormat="1" ht="23.25" customHeight="1" x14ac:dyDescent="0.3">
      <c r="A130" s="203"/>
      <c r="B130" s="311" t="s">
        <v>308</v>
      </c>
      <c r="C130" s="234">
        <v>6.7</v>
      </c>
      <c r="D130" s="229">
        <v>39841</v>
      </c>
      <c r="E130" s="229">
        <v>49700</v>
      </c>
      <c r="F130" s="230">
        <f>1734682.2+227173.26</f>
        <v>1961855.46</v>
      </c>
      <c r="G130" s="231">
        <f>1587234.22+207863.53</f>
        <v>1795097.75</v>
      </c>
      <c r="H130" s="312"/>
      <c r="I130" s="208"/>
      <c r="J130" s="208"/>
    </row>
    <row r="131" spans="1:10" s="209" customFormat="1" ht="23.25" customHeight="1" x14ac:dyDescent="0.3">
      <c r="A131" s="203"/>
      <c r="B131" s="311" t="s">
        <v>309</v>
      </c>
      <c r="C131" s="234">
        <v>6.7</v>
      </c>
      <c r="D131" s="229">
        <v>39911</v>
      </c>
      <c r="E131" s="229">
        <v>49700</v>
      </c>
      <c r="F131" s="230">
        <f>3598139.54+404907.99</f>
        <v>4003047.53</v>
      </c>
      <c r="G131" s="231">
        <f>3211339.54+361380.38</f>
        <v>3572719.92</v>
      </c>
      <c r="H131" s="312"/>
      <c r="I131" s="208"/>
      <c r="J131" s="208"/>
    </row>
    <row r="132" spans="1:10" s="209" customFormat="1" ht="23.25" customHeight="1" x14ac:dyDescent="0.3">
      <c r="A132" s="203"/>
      <c r="B132" s="311" t="s">
        <v>153</v>
      </c>
      <c r="C132" s="234">
        <v>6.7</v>
      </c>
      <c r="D132" s="229">
        <v>39976</v>
      </c>
      <c r="E132" s="229">
        <v>49700</v>
      </c>
      <c r="F132" s="230">
        <f>1471187.91+228824.91</f>
        <v>1700012.82</v>
      </c>
      <c r="G132" s="231">
        <f>1463831.97+227680.79</f>
        <v>1691512.76</v>
      </c>
      <c r="H132" s="312"/>
      <c r="I132" s="208"/>
      <c r="J132" s="208"/>
    </row>
    <row r="133" spans="1:10" s="209" customFormat="1" ht="23.25" customHeight="1" x14ac:dyDescent="0.3">
      <c r="A133" s="203"/>
      <c r="B133" s="311" t="s">
        <v>310</v>
      </c>
      <c r="C133" s="234">
        <v>6.7</v>
      </c>
      <c r="D133" s="229">
        <v>39979</v>
      </c>
      <c r="E133" s="229">
        <v>49700</v>
      </c>
      <c r="F133" s="230">
        <v>1494830.53</v>
      </c>
      <c r="G133" s="231">
        <v>1491093.45</v>
      </c>
      <c r="H133" s="312"/>
      <c r="I133" s="208"/>
      <c r="J133" s="208"/>
    </row>
    <row r="134" spans="1:10" s="209" customFormat="1" ht="23.25" customHeight="1" x14ac:dyDescent="0.3">
      <c r="A134" s="203"/>
      <c r="B134" s="311" t="s">
        <v>311</v>
      </c>
      <c r="C134" s="234">
        <v>6.7</v>
      </c>
      <c r="D134" s="229">
        <v>40056</v>
      </c>
      <c r="E134" s="229">
        <v>49700</v>
      </c>
      <c r="F134" s="230">
        <f>2931000+429000</f>
        <v>3360000</v>
      </c>
      <c r="G134" s="231">
        <f>3011602.5+440797.5</f>
        <v>3452400</v>
      </c>
      <c r="H134" s="312"/>
      <c r="I134" s="208"/>
      <c r="J134" s="208"/>
    </row>
    <row r="135" spans="1:10" s="209" customFormat="1" ht="23.25" customHeight="1" x14ac:dyDescent="0.3">
      <c r="A135" s="203"/>
      <c r="B135" s="311" t="s">
        <v>312</v>
      </c>
      <c r="C135" s="234">
        <v>6.7</v>
      </c>
      <c r="D135" s="229">
        <v>40218</v>
      </c>
      <c r="E135" s="229">
        <v>49700</v>
      </c>
      <c r="F135" s="230">
        <f>2411000+586900</f>
        <v>2997900</v>
      </c>
      <c r="G135" s="231">
        <f>2459220+598638</f>
        <v>3057858</v>
      </c>
      <c r="H135" s="312"/>
      <c r="I135" s="208"/>
      <c r="J135" s="208"/>
    </row>
    <row r="136" spans="1:10" s="209" customFormat="1" ht="23.25" customHeight="1" x14ac:dyDescent="0.3">
      <c r="A136" s="203"/>
      <c r="B136" s="311" t="s">
        <v>313</v>
      </c>
      <c r="C136" s="234">
        <v>6.7</v>
      </c>
      <c r="D136" s="229">
        <v>40218</v>
      </c>
      <c r="E136" s="229">
        <v>49700</v>
      </c>
      <c r="F136" s="230">
        <f>4900000+565500</f>
        <v>5465500</v>
      </c>
      <c r="G136" s="231">
        <f>5007800+577941</f>
        <v>5585741</v>
      </c>
      <c r="H136" s="312"/>
      <c r="I136" s="208"/>
      <c r="J136" s="208"/>
    </row>
    <row r="137" spans="1:10" s="209" customFormat="1" ht="23.25" customHeight="1" x14ac:dyDescent="0.3">
      <c r="A137" s="203"/>
      <c r="B137" s="311" t="s">
        <v>314</v>
      </c>
      <c r="C137" s="234">
        <v>6.7</v>
      </c>
      <c r="D137" s="229">
        <v>40238</v>
      </c>
      <c r="E137" s="229">
        <v>49700</v>
      </c>
      <c r="F137" s="230">
        <v>1251000</v>
      </c>
      <c r="G137" s="231">
        <v>1322932.5</v>
      </c>
      <c r="H137" s="312"/>
      <c r="I137" s="208"/>
      <c r="J137" s="208"/>
    </row>
    <row r="138" spans="1:10" s="209" customFormat="1" ht="23.25" customHeight="1" x14ac:dyDescent="0.3">
      <c r="A138" s="203"/>
      <c r="B138" s="311" t="s">
        <v>315</v>
      </c>
      <c r="C138" s="234">
        <v>6.7</v>
      </c>
      <c r="D138" s="229">
        <v>40238</v>
      </c>
      <c r="E138" s="229">
        <v>49700</v>
      </c>
      <c r="F138" s="230">
        <v>1000000</v>
      </c>
      <c r="G138" s="231">
        <v>1058000</v>
      </c>
      <c r="H138" s="312"/>
      <c r="I138" s="208"/>
      <c r="J138" s="208"/>
    </row>
    <row r="139" spans="1:10" s="209" customFormat="1" ht="23.25" customHeight="1" x14ac:dyDescent="0.3">
      <c r="A139" s="203"/>
      <c r="B139" s="311" t="s">
        <v>316</v>
      </c>
      <c r="C139" s="234">
        <v>6.7</v>
      </c>
      <c r="D139" s="229">
        <v>40238</v>
      </c>
      <c r="E139" s="229">
        <v>49700</v>
      </c>
      <c r="F139" s="230">
        <v>2000000</v>
      </c>
      <c r="G139" s="231">
        <v>2117500</v>
      </c>
      <c r="H139" s="312"/>
      <c r="I139" s="208"/>
      <c r="J139" s="208"/>
    </row>
    <row r="140" spans="1:10" s="209" customFormat="1" ht="23.25" customHeight="1" x14ac:dyDescent="0.3">
      <c r="A140" s="203"/>
      <c r="B140" s="311" t="s">
        <v>317</v>
      </c>
      <c r="C140" s="234">
        <v>6.7</v>
      </c>
      <c r="D140" s="229">
        <v>41457</v>
      </c>
      <c r="E140" s="229">
        <v>49700</v>
      </c>
      <c r="F140" s="230">
        <v>1500000</v>
      </c>
      <c r="G140" s="231">
        <v>1753125</v>
      </c>
      <c r="H140" s="312"/>
      <c r="I140" s="208"/>
      <c r="J140" s="208"/>
    </row>
    <row r="141" spans="1:10" s="209" customFormat="1" ht="23.25" customHeight="1" x14ac:dyDescent="0.3">
      <c r="A141" s="203"/>
      <c r="B141" s="311" t="s">
        <v>111</v>
      </c>
      <c r="C141" s="234">
        <v>6.7</v>
      </c>
      <c r="D141" s="229">
        <v>39636</v>
      </c>
      <c r="E141" s="229">
        <v>49700</v>
      </c>
      <c r="F141" s="230">
        <v>1288948.06</v>
      </c>
      <c r="G141" s="231">
        <v>1311504.6499999999</v>
      </c>
      <c r="H141" s="312"/>
      <c r="I141" s="208"/>
      <c r="J141" s="208"/>
    </row>
    <row r="142" spans="1:10" s="209" customFormat="1" ht="23.25" customHeight="1" x14ac:dyDescent="0.3">
      <c r="A142" s="203"/>
      <c r="B142" s="311" t="s">
        <v>318</v>
      </c>
      <c r="C142" s="234">
        <v>6.7</v>
      </c>
      <c r="D142" s="229">
        <v>39826</v>
      </c>
      <c r="E142" s="229">
        <v>49700</v>
      </c>
      <c r="F142" s="230">
        <v>8000000</v>
      </c>
      <c r="G142" s="231">
        <v>7540000</v>
      </c>
      <c r="H142" s="312"/>
      <c r="I142" s="208"/>
      <c r="J142" s="208"/>
    </row>
    <row r="143" spans="1:10" s="209" customFormat="1" ht="23.25" customHeight="1" x14ac:dyDescent="0.3">
      <c r="A143" s="203"/>
      <c r="B143" s="311" t="s">
        <v>113</v>
      </c>
      <c r="C143" s="234">
        <v>6.7</v>
      </c>
      <c r="D143" s="229">
        <v>39833</v>
      </c>
      <c r="E143" s="229">
        <v>49700</v>
      </c>
      <c r="F143" s="230">
        <v>4000000</v>
      </c>
      <c r="G143" s="231">
        <v>3700000</v>
      </c>
      <c r="H143" s="312"/>
      <c r="I143" s="208"/>
      <c r="J143" s="208"/>
    </row>
    <row r="144" spans="1:10" s="209" customFormat="1" ht="23.25" customHeight="1" x14ac:dyDescent="0.3">
      <c r="A144" s="203"/>
      <c r="B144" s="311" t="s">
        <v>319</v>
      </c>
      <c r="C144" s="234">
        <v>6.7</v>
      </c>
      <c r="D144" s="229">
        <v>39884</v>
      </c>
      <c r="E144" s="229">
        <v>49700</v>
      </c>
      <c r="F144" s="230">
        <v>3000000</v>
      </c>
      <c r="G144" s="231">
        <v>2610000</v>
      </c>
      <c r="H144" s="312"/>
      <c r="I144" s="208"/>
      <c r="J144" s="208"/>
    </row>
    <row r="145" spans="1:10" s="209" customFormat="1" ht="23.25" customHeight="1" x14ac:dyDescent="0.3">
      <c r="A145" s="203"/>
      <c r="B145" s="311" t="s">
        <v>320</v>
      </c>
      <c r="C145" s="234">
        <v>6.7</v>
      </c>
      <c r="D145" s="229">
        <v>39911</v>
      </c>
      <c r="E145" s="229">
        <v>49700</v>
      </c>
      <c r="F145" s="230">
        <v>1656279.24</v>
      </c>
      <c r="G145" s="231">
        <v>1478229.22</v>
      </c>
      <c r="H145" s="312"/>
      <c r="I145" s="208"/>
      <c r="J145" s="208"/>
    </row>
    <row r="146" spans="1:10" s="209" customFormat="1" ht="23.25" customHeight="1" x14ac:dyDescent="0.3">
      <c r="A146" s="203"/>
      <c r="B146" s="311" t="s">
        <v>321</v>
      </c>
      <c r="C146" s="234">
        <v>6.7</v>
      </c>
      <c r="D146" s="229">
        <v>39925</v>
      </c>
      <c r="E146" s="229">
        <v>49700</v>
      </c>
      <c r="F146" s="230">
        <v>2000000</v>
      </c>
      <c r="G146" s="231">
        <v>1882500</v>
      </c>
      <c r="H146" s="312"/>
      <c r="I146" s="208"/>
      <c r="J146" s="208"/>
    </row>
    <row r="147" spans="1:10" s="209" customFormat="1" ht="23.25" customHeight="1" x14ac:dyDescent="0.3">
      <c r="A147" s="203"/>
      <c r="B147" s="311" t="s">
        <v>322</v>
      </c>
      <c r="C147" s="234">
        <v>6.7</v>
      </c>
      <c r="D147" s="229">
        <v>39926</v>
      </c>
      <c r="E147" s="229">
        <v>49700</v>
      </c>
      <c r="F147" s="230">
        <v>4235000</v>
      </c>
      <c r="G147" s="231">
        <v>3959725</v>
      </c>
      <c r="H147" s="312"/>
      <c r="I147" s="208"/>
      <c r="J147" s="208"/>
    </row>
    <row r="148" spans="1:10" s="209" customFormat="1" ht="23.25" customHeight="1" x14ac:dyDescent="0.3">
      <c r="A148" s="203"/>
      <c r="B148" s="311" t="s">
        <v>323</v>
      </c>
      <c r="C148" s="234">
        <v>6.7</v>
      </c>
      <c r="D148" s="229">
        <v>39933</v>
      </c>
      <c r="E148" s="229">
        <v>49700</v>
      </c>
      <c r="F148" s="230">
        <v>6500000</v>
      </c>
      <c r="G148" s="231">
        <v>6110000</v>
      </c>
      <c r="H148" s="312"/>
      <c r="I148" s="208"/>
      <c r="J148" s="208"/>
    </row>
    <row r="149" spans="1:10" s="209" customFormat="1" ht="23.25" customHeight="1" x14ac:dyDescent="0.3">
      <c r="A149" s="203"/>
      <c r="B149" s="311" t="s">
        <v>324</v>
      </c>
      <c r="C149" s="234">
        <v>6.7</v>
      </c>
      <c r="D149" s="229">
        <v>39946</v>
      </c>
      <c r="E149" s="229">
        <v>49700</v>
      </c>
      <c r="F149" s="230">
        <v>7500000</v>
      </c>
      <c r="G149" s="231">
        <v>7406250</v>
      </c>
      <c r="H149" s="312"/>
      <c r="I149" s="208"/>
      <c r="J149" s="208"/>
    </row>
    <row r="150" spans="1:10" s="209" customFormat="1" ht="23.25" customHeight="1" x14ac:dyDescent="0.3">
      <c r="A150" s="203"/>
      <c r="B150" s="311" t="s">
        <v>325</v>
      </c>
      <c r="C150" s="234">
        <v>6.7</v>
      </c>
      <c r="D150" s="229">
        <v>39976</v>
      </c>
      <c r="E150" s="229">
        <v>49700</v>
      </c>
      <c r="F150" s="230">
        <v>414611.9</v>
      </c>
      <c r="G150" s="231">
        <v>412538.84</v>
      </c>
      <c r="H150" s="312"/>
      <c r="I150" s="208"/>
      <c r="J150" s="208"/>
    </row>
    <row r="151" spans="1:10" s="209" customFormat="1" ht="23.25" customHeight="1" x14ac:dyDescent="0.3">
      <c r="A151" s="203"/>
      <c r="B151" s="311" t="s">
        <v>238</v>
      </c>
      <c r="C151" s="234">
        <v>6.7</v>
      </c>
      <c r="D151" s="229">
        <v>39979</v>
      </c>
      <c r="E151" s="229">
        <v>49700</v>
      </c>
      <c r="F151" s="230">
        <v>1005169.47</v>
      </c>
      <c r="G151" s="231">
        <v>1002656.55</v>
      </c>
      <c r="H151" s="312"/>
      <c r="I151" s="208"/>
      <c r="J151" s="208"/>
    </row>
    <row r="152" spans="1:10" s="209" customFormat="1" ht="23.25" customHeight="1" x14ac:dyDescent="0.3">
      <c r="A152" s="203"/>
      <c r="B152" s="311" t="s">
        <v>153</v>
      </c>
      <c r="C152" s="234">
        <v>6.7</v>
      </c>
      <c r="D152" s="229">
        <v>39983</v>
      </c>
      <c r="E152" s="229">
        <v>49700</v>
      </c>
      <c r="F152" s="230">
        <v>1500000</v>
      </c>
      <c r="G152" s="231">
        <v>1496250</v>
      </c>
      <c r="H152" s="312"/>
      <c r="I152" s="208"/>
      <c r="J152" s="208"/>
    </row>
    <row r="153" spans="1:10" s="209" customFormat="1" ht="23.25" customHeight="1" x14ac:dyDescent="0.3">
      <c r="A153" s="203"/>
      <c r="B153" s="311" t="s">
        <v>154</v>
      </c>
      <c r="C153" s="234">
        <v>6.7</v>
      </c>
      <c r="D153" s="229">
        <v>40056</v>
      </c>
      <c r="E153" s="229">
        <v>49700</v>
      </c>
      <c r="F153" s="230">
        <v>507000</v>
      </c>
      <c r="G153" s="231">
        <v>520942.5</v>
      </c>
      <c r="H153" s="312"/>
      <c r="I153" s="208"/>
      <c r="J153" s="208"/>
    </row>
    <row r="154" spans="1:10" s="209" customFormat="1" ht="23.25" customHeight="1" x14ac:dyDescent="0.3">
      <c r="A154" s="203"/>
      <c r="B154" s="311" t="s">
        <v>326</v>
      </c>
      <c r="C154" s="234">
        <v>6.7</v>
      </c>
      <c r="D154" s="229">
        <v>40217</v>
      </c>
      <c r="E154" s="229">
        <v>49700</v>
      </c>
      <c r="F154" s="230">
        <v>3021516.84</v>
      </c>
      <c r="G154" s="231">
        <v>3081947.18</v>
      </c>
      <c r="H154" s="312"/>
      <c r="I154" s="208"/>
      <c r="J154" s="208"/>
    </row>
    <row r="155" spans="1:10" s="209" customFormat="1" ht="23.25" customHeight="1" x14ac:dyDescent="0.3">
      <c r="A155" s="203"/>
      <c r="B155" s="311" t="s">
        <v>327</v>
      </c>
      <c r="C155" s="234">
        <v>6.7</v>
      </c>
      <c r="D155" s="229">
        <v>40269</v>
      </c>
      <c r="E155" s="229">
        <v>49700</v>
      </c>
      <c r="F155" s="230">
        <v>87000000</v>
      </c>
      <c r="G155" s="231">
        <v>91785000</v>
      </c>
      <c r="H155" s="312"/>
      <c r="I155" s="208"/>
      <c r="J155" s="208"/>
    </row>
    <row r="156" spans="1:10" s="209" customFormat="1" ht="23.25" customHeight="1" x14ac:dyDescent="0.3">
      <c r="A156" s="203"/>
      <c r="B156" s="321" t="s">
        <v>328</v>
      </c>
      <c r="C156" s="226"/>
      <c r="D156" s="219"/>
      <c r="E156" s="219"/>
      <c r="F156" s="220">
        <f>SUM(F157:F159)</f>
        <v>170128309.37</v>
      </c>
      <c r="G156" s="220">
        <f>SUM(G157:G159)</f>
        <v>169715867.50999999</v>
      </c>
      <c r="H156" s="312"/>
      <c r="I156" s="208"/>
      <c r="J156" s="208"/>
    </row>
    <row r="157" spans="1:10" s="209" customFormat="1" ht="23.25" customHeight="1" x14ac:dyDescent="0.3">
      <c r="A157" s="203"/>
      <c r="B157" s="311" t="s">
        <v>329</v>
      </c>
      <c r="C157" s="234">
        <v>4.5</v>
      </c>
      <c r="D157" s="229">
        <v>42870</v>
      </c>
      <c r="E157" s="229">
        <v>53827</v>
      </c>
      <c r="F157" s="231">
        <v>143239433.49000001</v>
      </c>
      <c r="G157" s="231">
        <v>142894226.44999999</v>
      </c>
      <c r="H157" s="312"/>
      <c r="I157" s="208"/>
      <c r="J157" s="208"/>
    </row>
    <row r="158" spans="1:10" s="209" customFormat="1" ht="23.25" customHeight="1" x14ac:dyDescent="0.3">
      <c r="A158" s="203"/>
      <c r="B158" s="311" t="s">
        <v>330</v>
      </c>
      <c r="C158" s="234">
        <v>4.5</v>
      </c>
      <c r="D158" s="229">
        <v>42870</v>
      </c>
      <c r="E158" s="229">
        <v>53827</v>
      </c>
      <c r="F158" s="230">
        <v>26294100.149999999</v>
      </c>
      <c r="G158" s="231">
        <v>26230731.370000001</v>
      </c>
      <c r="H158" s="312"/>
      <c r="I158" s="208"/>
      <c r="J158" s="208"/>
    </row>
    <row r="159" spans="1:10" s="209" customFormat="1" ht="23.25" customHeight="1" x14ac:dyDescent="0.3">
      <c r="A159" s="203"/>
      <c r="B159" s="311" t="s">
        <v>251</v>
      </c>
      <c r="C159" s="234">
        <v>4.5</v>
      </c>
      <c r="D159" s="229">
        <v>43370</v>
      </c>
      <c r="E159" s="229">
        <v>53827</v>
      </c>
      <c r="F159" s="230">
        <v>594775.73</v>
      </c>
      <c r="G159" s="231">
        <v>590909.68999999994</v>
      </c>
      <c r="H159" s="312"/>
      <c r="I159" s="208"/>
      <c r="J159" s="208"/>
    </row>
    <row r="160" spans="1:10" s="209" customFormat="1" ht="23.25" customHeight="1" x14ac:dyDescent="0.3">
      <c r="A160" s="203"/>
      <c r="B160" s="313" t="s">
        <v>171</v>
      </c>
      <c r="C160" s="226"/>
      <c r="D160" s="314"/>
      <c r="E160" s="314"/>
      <c r="F160" s="220">
        <f>SUM(F161:F162)</f>
        <v>63420313.409999996</v>
      </c>
      <c r="G160" s="220">
        <f>SUM(G161:G162)</f>
        <v>62416171.859999999</v>
      </c>
      <c r="H160" s="312"/>
      <c r="I160" s="208"/>
      <c r="J160" s="208"/>
    </row>
    <row r="161" spans="1:10" s="209" customFormat="1" ht="23.25" customHeight="1" x14ac:dyDescent="0.3">
      <c r="A161" s="203"/>
      <c r="B161" s="237" t="s">
        <v>172</v>
      </c>
      <c r="C161" s="234">
        <v>4.5</v>
      </c>
      <c r="D161" s="229">
        <v>43206</v>
      </c>
      <c r="E161" s="229">
        <v>54894</v>
      </c>
      <c r="F161" s="230">
        <v>51420313.409999996</v>
      </c>
      <c r="G161" s="230">
        <v>51198691.859999999</v>
      </c>
      <c r="H161" s="312"/>
      <c r="I161" s="208"/>
      <c r="J161" s="208"/>
    </row>
    <row r="162" spans="1:10" s="209" customFormat="1" ht="23.25" customHeight="1" x14ac:dyDescent="0.3">
      <c r="A162" s="203"/>
      <c r="B162" s="237" t="s">
        <v>331</v>
      </c>
      <c r="C162" s="234">
        <v>4.5</v>
      </c>
      <c r="D162" s="229">
        <v>43398</v>
      </c>
      <c r="E162" s="229">
        <v>54894</v>
      </c>
      <c r="F162" s="230">
        <v>12000000</v>
      </c>
      <c r="G162" s="230">
        <v>11217480</v>
      </c>
      <c r="H162" s="312"/>
      <c r="I162" s="208"/>
      <c r="J162" s="208"/>
    </row>
    <row r="163" spans="1:10" s="209" customFormat="1" ht="23.25" customHeight="1" x14ac:dyDescent="0.3">
      <c r="A163" s="203"/>
      <c r="B163" s="321" t="s">
        <v>119</v>
      </c>
      <c r="C163" s="226"/>
      <c r="D163" s="219"/>
      <c r="E163" s="219"/>
      <c r="F163" s="220">
        <f>SUM(F164:F166)</f>
        <v>149185392.27000001</v>
      </c>
      <c r="G163" s="220">
        <f>SUM(G164:G166)</f>
        <v>168053671.27000001</v>
      </c>
      <c r="H163" s="312"/>
      <c r="I163" s="208"/>
      <c r="J163" s="208"/>
    </row>
    <row r="164" spans="1:10" s="209" customFormat="1" ht="23.25" customHeight="1" x14ac:dyDescent="0.3">
      <c r="A164" s="203"/>
      <c r="B164" s="311" t="s">
        <v>332</v>
      </c>
      <c r="C164" s="234">
        <v>4.3</v>
      </c>
      <c r="D164" s="229">
        <v>41484</v>
      </c>
      <c r="E164" s="229">
        <v>56003</v>
      </c>
      <c r="F164" s="230">
        <v>1000000</v>
      </c>
      <c r="G164" s="231">
        <v>845000</v>
      </c>
      <c r="H164" s="312"/>
      <c r="I164" s="208"/>
      <c r="J164" s="208"/>
    </row>
    <row r="165" spans="1:10" s="209" customFormat="1" ht="23.25" customHeight="1" x14ac:dyDescent="0.3">
      <c r="A165" s="203"/>
      <c r="B165" s="311" t="s">
        <v>333</v>
      </c>
      <c r="C165" s="234">
        <v>4.3</v>
      </c>
      <c r="D165" s="229">
        <v>41492</v>
      </c>
      <c r="E165" s="229">
        <v>56003</v>
      </c>
      <c r="F165" s="230">
        <v>2000000</v>
      </c>
      <c r="G165" s="231">
        <v>1630000</v>
      </c>
      <c r="H165" s="312"/>
      <c r="I165" s="208"/>
      <c r="J165" s="208"/>
    </row>
    <row r="166" spans="1:10" s="209" customFormat="1" ht="23.25" customHeight="1" x14ac:dyDescent="0.3">
      <c r="A166" s="203"/>
      <c r="B166" s="311" t="s">
        <v>120</v>
      </c>
      <c r="C166" s="234">
        <v>4.3</v>
      </c>
      <c r="D166" s="229">
        <v>43795</v>
      </c>
      <c r="E166" s="229">
        <v>56003</v>
      </c>
      <c r="F166" s="230">
        <v>146185392.27000001</v>
      </c>
      <c r="G166" s="231">
        <v>165578671.27000001</v>
      </c>
      <c r="H166" s="312"/>
      <c r="I166" s="208"/>
      <c r="J166" s="208"/>
    </row>
    <row r="167" spans="1:10" s="209" customFormat="1" ht="23.25" customHeight="1" x14ac:dyDescent="0.3">
      <c r="A167" s="203"/>
      <c r="B167" s="306" t="s">
        <v>256</v>
      </c>
      <c r="C167" s="226"/>
      <c r="D167" s="219"/>
      <c r="E167" s="219"/>
      <c r="F167" s="220">
        <f>SUM(F168:F171)</f>
        <v>159379854.47</v>
      </c>
      <c r="G167" s="220">
        <f>SUM(G168:G171)</f>
        <v>172997236.27000001</v>
      </c>
      <c r="H167" s="312"/>
      <c r="I167" s="208"/>
      <c r="J167" s="208"/>
    </row>
    <row r="168" spans="1:10" s="209" customFormat="1" ht="23.25" customHeight="1" x14ac:dyDescent="0.3">
      <c r="A168" s="203"/>
      <c r="B168" s="311" t="s">
        <v>257</v>
      </c>
      <c r="C168" s="234">
        <v>3.87</v>
      </c>
      <c r="D168" s="229">
        <v>44223</v>
      </c>
      <c r="E168" s="229">
        <v>58645</v>
      </c>
      <c r="F168" s="230">
        <v>129979854.47</v>
      </c>
      <c r="G168" s="231">
        <v>143486061.15000001</v>
      </c>
      <c r="H168" s="312"/>
      <c r="I168" s="208"/>
      <c r="J168" s="208"/>
    </row>
    <row r="169" spans="1:10" s="209" customFormat="1" ht="23.25" customHeight="1" x14ac:dyDescent="0.3">
      <c r="A169" s="203"/>
      <c r="B169" s="311" t="s">
        <v>334</v>
      </c>
      <c r="C169" s="234">
        <v>3.87</v>
      </c>
      <c r="D169" s="229">
        <v>44322</v>
      </c>
      <c r="E169" s="229">
        <v>58645</v>
      </c>
      <c r="F169" s="230">
        <v>9800000</v>
      </c>
      <c r="G169" s="231">
        <v>9838655.1199999992</v>
      </c>
      <c r="H169" s="312"/>
      <c r="I169" s="208"/>
      <c r="J169" s="208"/>
    </row>
    <row r="170" spans="1:10" s="209" customFormat="1" ht="23.25" customHeight="1" x14ac:dyDescent="0.3">
      <c r="A170" s="203"/>
      <c r="B170" s="311" t="s">
        <v>335</v>
      </c>
      <c r="C170" s="234">
        <v>3.87</v>
      </c>
      <c r="D170" s="229">
        <v>44323</v>
      </c>
      <c r="E170" s="229">
        <v>58645</v>
      </c>
      <c r="F170" s="230">
        <v>9800000</v>
      </c>
      <c r="G170" s="231">
        <v>9834300</v>
      </c>
      <c r="H170" s="312"/>
      <c r="I170" s="208"/>
      <c r="J170" s="208"/>
    </row>
    <row r="171" spans="1:10" s="209" customFormat="1" ht="23.25" customHeight="1" x14ac:dyDescent="0.3">
      <c r="A171" s="203"/>
      <c r="B171" s="311" t="s">
        <v>336</v>
      </c>
      <c r="C171" s="234">
        <v>3.87</v>
      </c>
      <c r="D171" s="229">
        <v>44333</v>
      </c>
      <c r="E171" s="229">
        <v>58645</v>
      </c>
      <c r="F171" s="230">
        <v>9800000</v>
      </c>
      <c r="G171" s="231">
        <v>9838220</v>
      </c>
      <c r="H171" s="312"/>
      <c r="I171" s="208"/>
      <c r="J171" s="208"/>
    </row>
    <row r="172" spans="1:10" s="209" customFormat="1" ht="22.9" customHeight="1" x14ac:dyDescent="0.3">
      <c r="A172" s="203"/>
      <c r="B172" s="321" t="s">
        <v>122</v>
      </c>
      <c r="C172" s="226"/>
      <c r="D172" s="219"/>
      <c r="E172" s="219"/>
      <c r="F172" s="236">
        <f>SUM(F173:F182)</f>
        <v>307241182.12</v>
      </c>
      <c r="G172" s="236">
        <f>SUM(G173:G182)</f>
        <v>339056289.10000002</v>
      </c>
      <c r="H172" s="208"/>
      <c r="I172" s="208"/>
      <c r="J172" s="208"/>
    </row>
    <row r="173" spans="1:10" s="209" customFormat="1" ht="23.25" customHeight="1" x14ac:dyDescent="0.3">
      <c r="A173" s="203"/>
      <c r="B173" s="311" t="s">
        <v>337</v>
      </c>
      <c r="C173" s="234">
        <v>5.625</v>
      </c>
      <c r="D173" s="229">
        <v>40938</v>
      </c>
      <c r="E173" s="229">
        <v>44767</v>
      </c>
      <c r="F173" s="230">
        <f>34824387.46+1209008.6</f>
        <v>36033396.060000002</v>
      </c>
      <c r="G173" s="231">
        <f>38393887.17+1332931.98</f>
        <v>39726819.149999999</v>
      </c>
      <c r="H173" s="310"/>
      <c r="I173" s="208"/>
      <c r="J173" s="208"/>
    </row>
    <row r="174" spans="1:10" s="209" customFormat="1" ht="23.25" customHeight="1" x14ac:dyDescent="0.3">
      <c r="A174" s="203"/>
      <c r="B174" s="311" t="s">
        <v>176</v>
      </c>
      <c r="C174" s="234">
        <v>5.625</v>
      </c>
      <c r="D174" s="229">
        <v>41008</v>
      </c>
      <c r="E174" s="229">
        <v>44767</v>
      </c>
      <c r="F174" s="230">
        <v>8485315.1400000006</v>
      </c>
      <c r="G174" s="231">
        <v>9312633.3599999994</v>
      </c>
      <c r="H174" s="310"/>
      <c r="I174" s="208"/>
      <c r="J174" s="208"/>
    </row>
    <row r="175" spans="1:10" s="209" customFormat="1" ht="23.25" customHeight="1" x14ac:dyDescent="0.3">
      <c r="A175" s="203"/>
      <c r="B175" s="311" t="s">
        <v>338</v>
      </c>
      <c r="C175" s="234">
        <v>5.625</v>
      </c>
      <c r="D175" s="229">
        <v>41040</v>
      </c>
      <c r="E175" s="229">
        <v>44767</v>
      </c>
      <c r="F175" s="230">
        <v>6444181.2400000002</v>
      </c>
      <c r="G175" s="231">
        <v>7056378.4500000002</v>
      </c>
      <c r="H175" s="310"/>
      <c r="I175" s="208"/>
      <c r="J175" s="208"/>
    </row>
    <row r="176" spans="1:10" s="209" customFormat="1" ht="23.25" customHeight="1" x14ac:dyDescent="0.3">
      <c r="A176" s="203"/>
      <c r="B176" s="311" t="s">
        <v>339</v>
      </c>
      <c r="C176" s="234">
        <v>5.625</v>
      </c>
      <c r="D176" s="229">
        <v>41082</v>
      </c>
      <c r="E176" s="229">
        <v>44767</v>
      </c>
      <c r="F176" s="230">
        <v>35283709.280000001</v>
      </c>
      <c r="G176" s="231">
        <v>39288410.280000001</v>
      </c>
      <c r="H176" s="310"/>
      <c r="I176" s="208"/>
      <c r="J176" s="208"/>
    </row>
    <row r="177" spans="1:10" s="209" customFormat="1" ht="23.25" customHeight="1" x14ac:dyDescent="0.3">
      <c r="A177" s="203"/>
      <c r="B177" s="311" t="s">
        <v>340</v>
      </c>
      <c r="C177" s="234">
        <v>5.625</v>
      </c>
      <c r="D177" s="229">
        <v>41096</v>
      </c>
      <c r="E177" s="229">
        <v>44767</v>
      </c>
      <c r="F177" s="230">
        <v>4828644.8600000003</v>
      </c>
      <c r="G177" s="231">
        <v>5342895.54</v>
      </c>
      <c r="H177" s="310"/>
      <c r="I177" s="208"/>
      <c r="J177" s="208"/>
    </row>
    <row r="178" spans="1:10" s="209" customFormat="1" ht="23.25" customHeight="1" x14ac:dyDescent="0.3">
      <c r="A178" s="203"/>
      <c r="B178" s="311" t="s">
        <v>341</v>
      </c>
      <c r="C178" s="234">
        <v>5.625</v>
      </c>
      <c r="D178" s="229">
        <v>41138</v>
      </c>
      <c r="E178" s="229">
        <v>44767</v>
      </c>
      <c r="F178" s="230">
        <v>33373000</v>
      </c>
      <c r="G178" s="231">
        <v>37370373.5</v>
      </c>
      <c r="H178" s="310"/>
      <c r="I178" s="208"/>
      <c r="J178" s="208"/>
    </row>
    <row r="179" spans="1:10" s="209" customFormat="1" ht="23.25" customHeight="1" x14ac:dyDescent="0.3">
      <c r="A179" s="203"/>
      <c r="B179" s="311" t="s">
        <v>342</v>
      </c>
      <c r="C179" s="234">
        <v>5.63</v>
      </c>
      <c r="D179" s="229">
        <v>41243</v>
      </c>
      <c r="E179" s="229">
        <v>44767</v>
      </c>
      <c r="F179" s="230">
        <v>19266094.890000001</v>
      </c>
      <c r="G179" s="231">
        <v>21674356.75</v>
      </c>
      <c r="H179" s="310"/>
      <c r="I179" s="208"/>
      <c r="J179" s="208"/>
    </row>
    <row r="180" spans="1:10" s="209" customFormat="1" ht="23.25" customHeight="1" x14ac:dyDescent="0.3">
      <c r="A180" s="203"/>
      <c r="B180" s="311" t="s">
        <v>179</v>
      </c>
      <c r="C180" s="234">
        <v>5.63</v>
      </c>
      <c r="D180" s="229">
        <v>43238</v>
      </c>
      <c r="E180" s="229">
        <v>44767</v>
      </c>
      <c r="F180" s="230">
        <v>113873840.65000001</v>
      </c>
      <c r="G180" s="231">
        <v>125261224.72</v>
      </c>
      <c r="H180" s="310"/>
      <c r="I180" s="208"/>
      <c r="J180" s="208"/>
    </row>
    <row r="181" spans="1:10" s="209" customFormat="1" ht="23.25" customHeight="1" x14ac:dyDescent="0.3">
      <c r="A181" s="203"/>
      <c r="B181" s="237" t="s">
        <v>343</v>
      </c>
      <c r="C181" s="228">
        <v>5.625</v>
      </c>
      <c r="D181" s="229">
        <v>43280</v>
      </c>
      <c r="E181" s="229">
        <v>44767</v>
      </c>
      <c r="F181" s="230">
        <v>4892000</v>
      </c>
      <c r="G181" s="231">
        <v>5314668.8</v>
      </c>
      <c r="H181" s="310"/>
      <c r="I181" s="208"/>
      <c r="J181" s="208"/>
    </row>
    <row r="182" spans="1:10" s="209" customFormat="1" ht="23.25" customHeight="1" x14ac:dyDescent="0.3">
      <c r="A182" s="203"/>
      <c r="B182" s="237" t="s">
        <v>344</v>
      </c>
      <c r="C182" s="228">
        <v>5.625</v>
      </c>
      <c r="D182" s="229">
        <v>43283</v>
      </c>
      <c r="E182" s="229">
        <v>44767</v>
      </c>
      <c r="F182" s="230">
        <v>44761000</v>
      </c>
      <c r="G182" s="231">
        <v>48708528.549999997</v>
      </c>
      <c r="H182" s="310"/>
      <c r="I182" s="208"/>
      <c r="J182" s="208"/>
    </row>
    <row r="183" spans="1:10" s="209" customFormat="1" ht="23.25" customHeight="1" x14ac:dyDescent="0.3">
      <c r="A183" s="203"/>
      <c r="B183" s="321" t="s">
        <v>124</v>
      </c>
      <c r="C183" s="226"/>
      <c r="D183" s="219"/>
      <c r="E183" s="219"/>
      <c r="F183" s="236">
        <f>SUM(F184:F197)</f>
        <v>267718334.19</v>
      </c>
      <c r="G183" s="236">
        <f>SUM(G184:G197)</f>
        <v>285820759.02999997</v>
      </c>
      <c r="H183" s="310"/>
      <c r="I183" s="208"/>
      <c r="J183" s="208"/>
    </row>
    <row r="184" spans="1:10" s="209" customFormat="1" ht="23.25" customHeight="1" x14ac:dyDescent="0.3">
      <c r="A184" s="203"/>
      <c r="B184" s="311" t="s">
        <v>345</v>
      </c>
      <c r="C184" s="234">
        <v>5.63</v>
      </c>
      <c r="D184" s="229">
        <v>41603</v>
      </c>
      <c r="E184" s="229">
        <v>45437</v>
      </c>
      <c r="F184" s="231">
        <v>3907000</v>
      </c>
      <c r="G184" s="231">
        <v>3828860</v>
      </c>
      <c r="H184" s="310"/>
      <c r="I184" s="208"/>
      <c r="J184" s="208"/>
    </row>
    <row r="185" spans="1:10" s="209" customFormat="1" ht="23.25" customHeight="1" x14ac:dyDescent="0.3">
      <c r="A185" s="203"/>
      <c r="B185" s="311" t="s">
        <v>346</v>
      </c>
      <c r="C185" s="234">
        <v>4.95</v>
      </c>
      <c r="D185" s="229">
        <v>41603</v>
      </c>
      <c r="E185" s="229">
        <v>45436</v>
      </c>
      <c r="F185" s="231">
        <v>4000000</v>
      </c>
      <c r="G185" s="231">
        <v>3994000</v>
      </c>
      <c r="H185" s="310"/>
      <c r="I185" s="208"/>
      <c r="J185" s="208"/>
    </row>
    <row r="186" spans="1:10" s="209" customFormat="1" ht="23.25" customHeight="1" x14ac:dyDescent="0.3">
      <c r="A186" s="203"/>
      <c r="B186" s="311" t="s">
        <v>186</v>
      </c>
      <c r="C186" s="234">
        <v>4.95</v>
      </c>
      <c r="D186" s="229">
        <v>42545</v>
      </c>
      <c r="E186" s="229">
        <v>45436</v>
      </c>
      <c r="F186" s="230">
        <v>8070145.5</v>
      </c>
      <c r="G186" s="231">
        <v>8570494.5199999996</v>
      </c>
      <c r="H186" s="310"/>
      <c r="I186" s="208"/>
      <c r="J186" s="208"/>
    </row>
    <row r="187" spans="1:10" s="209" customFormat="1" ht="23.25" customHeight="1" x14ac:dyDescent="0.3">
      <c r="A187" s="203"/>
      <c r="B187" s="311" t="s">
        <v>187</v>
      </c>
      <c r="C187" s="234">
        <v>4.95</v>
      </c>
      <c r="D187" s="229">
        <v>42545</v>
      </c>
      <c r="E187" s="229">
        <v>45436</v>
      </c>
      <c r="F187" s="230">
        <v>14322000</v>
      </c>
      <c r="G187" s="231">
        <v>15195642</v>
      </c>
      <c r="H187" s="310"/>
      <c r="I187" s="208"/>
      <c r="J187" s="208"/>
    </row>
    <row r="188" spans="1:10" s="209" customFormat="1" ht="23.25" customHeight="1" x14ac:dyDescent="0.3">
      <c r="A188" s="203"/>
      <c r="B188" s="311" t="s">
        <v>188</v>
      </c>
      <c r="C188" s="234">
        <v>4.95</v>
      </c>
      <c r="D188" s="229">
        <v>42545</v>
      </c>
      <c r="E188" s="229">
        <v>45436</v>
      </c>
      <c r="F188" s="230">
        <v>8000000</v>
      </c>
      <c r="G188" s="231">
        <v>8516000</v>
      </c>
      <c r="H188" s="310"/>
      <c r="I188" s="208"/>
      <c r="J188" s="208"/>
    </row>
    <row r="189" spans="1:10" s="209" customFormat="1" ht="23.25" customHeight="1" x14ac:dyDescent="0.3">
      <c r="A189" s="203"/>
      <c r="B189" s="311" t="s">
        <v>189</v>
      </c>
      <c r="C189" s="234">
        <v>4.95</v>
      </c>
      <c r="D189" s="229">
        <v>42545</v>
      </c>
      <c r="E189" s="229">
        <v>45436</v>
      </c>
      <c r="F189" s="230">
        <v>17000000</v>
      </c>
      <c r="G189" s="231">
        <v>18071000</v>
      </c>
      <c r="H189" s="310"/>
      <c r="I189" s="208"/>
      <c r="J189" s="208"/>
    </row>
    <row r="190" spans="1:10" s="209" customFormat="1" ht="23.25" customHeight="1" x14ac:dyDescent="0.3">
      <c r="A190" s="203"/>
      <c r="B190" s="311" t="s">
        <v>190</v>
      </c>
      <c r="C190" s="234">
        <v>4.95</v>
      </c>
      <c r="D190" s="229">
        <v>42545</v>
      </c>
      <c r="E190" s="229">
        <v>45436</v>
      </c>
      <c r="F190" s="230">
        <v>16000000</v>
      </c>
      <c r="G190" s="231">
        <v>16992000</v>
      </c>
      <c r="H190" s="310"/>
      <c r="I190" s="208"/>
      <c r="J190" s="208"/>
    </row>
    <row r="191" spans="1:10" s="209" customFormat="1" ht="23.25" customHeight="1" x14ac:dyDescent="0.3">
      <c r="A191" s="203"/>
      <c r="B191" s="311" t="s">
        <v>191</v>
      </c>
      <c r="C191" s="234">
        <v>4.95</v>
      </c>
      <c r="D191" s="229">
        <v>42545</v>
      </c>
      <c r="E191" s="229">
        <v>45436</v>
      </c>
      <c r="F191" s="230">
        <v>15217000</v>
      </c>
      <c r="G191" s="231">
        <v>16145237</v>
      </c>
      <c r="H191" s="310"/>
      <c r="I191" s="208"/>
      <c r="J191" s="208"/>
    </row>
    <row r="192" spans="1:10" s="209" customFormat="1" ht="23.25" customHeight="1" x14ac:dyDescent="0.3">
      <c r="A192" s="203"/>
      <c r="B192" s="311" t="s">
        <v>347</v>
      </c>
      <c r="C192" s="234">
        <v>4.95</v>
      </c>
      <c r="D192" s="229">
        <v>42573</v>
      </c>
      <c r="E192" s="229">
        <v>45436</v>
      </c>
      <c r="F192" s="230">
        <v>60291252.960000001</v>
      </c>
      <c r="G192" s="231">
        <v>64993970.700000003</v>
      </c>
      <c r="H192" s="310"/>
      <c r="I192" s="208"/>
      <c r="J192" s="208"/>
    </row>
    <row r="193" spans="1:10" s="209" customFormat="1" ht="23.25" customHeight="1" x14ac:dyDescent="0.3">
      <c r="A193" s="203"/>
      <c r="B193" s="311" t="s">
        <v>348</v>
      </c>
      <c r="C193" s="234">
        <v>4.95</v>
      </c>
      <c r="D193" s="229">
        <v>42657</v>
      </c>
      <c r="E193" s="229">
        <v>45436</v>
      </c>
      <c r="F193" s="230">
        <v>12434667.18</v>
      </c>
      <c r="G193" s="231">
        <v>13668186.16</v>
      </c>
      <c r="H193" s="310"/>
      <c r="I193" s="208"/>
      <c r="J193" s="208"/>
    </row>
    <row r="194" spans="1:10" s="209" customFormat="1" ht="23.25" customHeight="1" x14ac:dyDescent="0.3">
      <c r="A194" s="203"/>
      <c r="B194" s="311" t="s">
        <v>349</v>
      </c>
      <c r="C194" s="234">
        <v>4.95</v>
      </c>
      <c r="D194" s="229">
        <v>42811</v>
      </c>
      <c r="E194" s="229">
        <v>45436</v>
      </c>
      <c r="F194" s="230">
        <v>11638036.58</v>
      </c>
      <c r="G194" s="231">
        <v>12603993.619999999</v>
      </c>
      <c r="H194" s="310"/>
      <c r="I194" s="208"/>
      <c r="J194" s="208"/>
    </row>
    <row r="195" spans="1:10" s="209" customFormat="1" ht="23.25" customHeight="1" x14ac:dyDescent="0.3">
      <c r="A195" s="203"/>
      <c r="B195" s="311" t="s">
        <v>266</v>
      </c>
      <c r="C195" s="234">
        <v>4.95</v>
      </c>
      <c r="D195" s="229" t="s">
        <v>267</v>
      </c>
      <c r="E195" s="229">
        <v>45436</v>
      </c>
      <c r="F195" s="230">
        <v>5662470.5599999996</v>
      </c>
      <c r="G195" s="231">
        <v>6183387.6500000004</v>
      </c>
      <c r="H195" s="310"/>
      <c r="I195" s="208"/>
      <c r="J195" s="208"/>
    </row>
    <row r="196" spans="1:10" s="209" customFormat="1" ht="23.25" customHeight="1" x14ac:dyDescent="0.3">
      <c r="A196" s="203"/>
      <c r="B196" s="311" t="s">
        <v>126</v>
      </c>
      <c r="C196" s="234">
        <v>4.95</v>
      </c>
      <c r="D196" s="229">
        <v>43385</v>
      </c>
      <c r="E196" s="229">
        <v>45436</v>
      </c>
      <c r="F196" s="230">
        <v>81164674.409999996</v>
      </c>
      <c r="G196" s="231">
        <v>86278048.900000006</v>
      </c>
      <c r="H196" s="310"/>
      <c r="I196" s="208"/>
      <c r="J196" s="208"/>
    </row>
    <row r="197" spans="1:10" s="209" customFormat="1" ht="23.25" customHeight="1" x14ac:dyDescent="0.3">
      <c r="A197" s="203"/>
      <c r="B197" s="311" t="s">
        <v>268</v>
      </c>
      <c r="C197" s="234">
        <v>4.95</v>
      </c>
      <c r="D197" s="229">
        <v>43630</v>
      </c>
      <c r="E197" s="229">
        <v>45436</v>
      </c>
      <c r="F197" s="230">
        <v>10011087</v>
      </c>
      <c r="G197" s="231">
        <v>10779938.48</v>
      </c>
      <c r="H197" s="310"/>
      <c r="I197" s="208"/>
      <c r="J197" s="208"/>
    </row>
    <row r="198" spans="1:10" s="209" customFormat="1" ht="23.25" customHeight="1" x14ac:dyDescent="0.3">
      <c r="A198" s="203"/>
      <c r="B198" s="313" t="s">
        <v>269</v>
      </c>
      <c r="C198" s="233"/>
      <c r="D198" s="219"/>
      <c r="E198" s="219"/>
      <c r="F198" s="220">
        <f>SUM(F199:F200)</f>
        <v>333173120.75</v>
      </c>
      <c r="G198" s="220">
        <f>SUM(G199:G200)</f>
        <v>333173120.75</v>
      </c>
      <c r="H198" s="310"/>
      <c r="I198" s="208"/>
      <c r="J198" s="208"/>
    </row>
    <row r="199" spans="1:10" s="209" customFormat="1" ht="23.25" customHeight="1" x14ac:dyDescent="0.3">
      <c r="A199" s="203"/>
      <c r="B199" s="237" t="s">
        <v>350</v>
      </c>
      <c r="C199" s="228">
        <v>3</v>
      </c>
      <c r="D199" s="229">
        <v>43826</v>
      </c>
      <c r="E199" s="229">
        <v>47479</v>
      </c>
      <c r="F199" s="230">
        <v>71985.11</v>
      </c>
      <c r="G199" s="230">
        <v>71985.11</v>
      </c>
      <c r="H199" s="310"/>
      <c r="I199" s="208"/>
      <c r="J199" s="208"/>
    </row>
    <row r="200" spans="1:10" s="209" customFormat="1" ht="36" customHeight="1" x14ac:dyDescent="0.3">
      <c r="A200" s="203"/>
      <c r="B200" s="316" t="s">
        <v>351</v>
      </c>
      <c r="C200" s="228">
        <v>3</v>
      </c>
      <c r="D200" s="229">
        <v>44260</v>
      </c>
      <c r="E200" s="229">
        <v>47479</v>
      </c>
      <c r="F200" s="230">
        <v>333101135.63999999</v>
      </c>
      <c r="G200" s="230">
        <v>333101135.63999999</v>
      </c>
      <c r="H200" s="310"/>
      <c r="I200" s="208"/>
      <c r="J200" s="208"/>
    </row>
    <row r="201" spans="1:10" s="209" customFormat="1" ht="30.75" customHeight="1" x14ac:dyDescent="0.3">
      <c r="A201" s="203"/>
      <c r="B201" s="313" t="s">
        <v>271</v>
      </c>
      <c r="C201" s="233"/>
      <c r="D201" s="219"/>
      <c r="E201" s="219"/>
      <c r="F201" s="220">
        <f>SUM(F202:F203)</f>
        <v>79300000</v>
      </c>
      <c r="G201" s="220">
        <f>SUM(G202:G203)</f>
        <v>79288950</v>
      </c>
      <c r="H201" s="310"/>
      <c r="I201" s="208"/>
      <c r="J201" s="208"/>
    </row>
    <row r="202" spans="1:10" s="209" customFormat="1" ht="24" customHeight="1" x14ac:dyDescent="0.3">
      <c r="A202" s="203"/>
      <c r="B202" s="240" t="s">
        <v>129</v>
      </c>
      <c r="C202" s="241">
        <v>3.3620000000000001</v>
      </c>
      <c r="D202" s="229">
        <v>44377</v>
      </c>
      <c r="E202" s="229">
        <v>48029</v>
      </c>
      <c r="F202" s="242">
        <v>78000000</v>
      </c>
      <c r="G202" s="242">
        <v>78000000</v>
      </c>
      <c r="H202" s="310"/>
      <c r="I202" s="208"/>
      <c r="J202" s="208"/>
    </row>
    <row r="203" spans="1:10" s="209" customFormat="1" ht="24" customHeight="1" x14ac:dyDescent="0.3">
      <c r="A203" s="203"/>
      <c r="B203" s="240" t="s">
        <v>352</v>
      </c>
      <c r="C203" s="241">
        <v>3.3620000000000001</v>
      </c>
      <c r="D203" s="229">
        <v>44497</v>
      </c>
      <c r="E203" s="229">
        <v>48029</v>
      </c>
      <c r="F203" s="242">
        <v>1300000</v>
      </c>
      <c r="G203" s="242">
        <v>1288950</v>
      </c>
      <c r="H203" s="310"/>
      <c r="I203" s="208"/>
      <c r="J203" s="208"/>
    </row>
    <row r="204" spans="1:10" s="209" customFormat="1" ht="23.25" customHeight="1" x14ac:dyDescent="0.3">
      <c r="A204" s="203"/>
      <c r="B204" s="313" t="s">
        <v>206</v>
      </c>
      <c r="C204" s="278"/>
      <c r="D204" s="314"/>
      <c r="E204" s="314"/>
      <c r="F204" s="220">
        <f>SUM(F205:F210)</f>
        <v>292545670.05000001</v>
      </c>
      <c r="G204" s="220">
        <f>SUM(G205:G210)</f>
        <v>290518120.35000002</v>
      </c>
      <c r="H204" s="326"/>
      <c r="I204" s="213"/>
      <c r="J204" s="213"/>
    </row>
    <row r="205" spans="1:10" s="209" customFormat="1" ht="23.25" customHeight="1" x14ac:dyDescent="0.3">
      <c r="A205" s="203"/>
      <c r="B205" s="237" t="s">
        <v>132</v>
      </c>
      <c r="C205" s="245">
        <v>3</v>
      </c>
      <c r="D205" s="229">
        <v>43245</v>
      </c>
      <c r="E205" s="229">
        <v>45198</v>
      </c>
      <c r="F205" s="246">
        <v>39042.04</v>
      </c>
      <c r="G205" s="247">
        <v>38753.129999999997</v>
      </c>
      <c r="H205" s="326"/>
      <c r="I205" s="213"/>
      <c r="J205" s="213"/>
    </row>
    <row r="206" spans="1:10" s="209" customFormat="1" ht="23.25" customHeight="1" x14ac:dyDescent="0.3">
      <c r="A206" s="203"/>
      <c r="B206" s="237" t="s">
        <v>133</v>
      </c>
      <c r="C206" s="245">
        <v>3</v>
      </c>
      <c r="D206" s="229">
        <v>43336</v>
      </c>
      <c r="E206" s="229">
        <v>45198</v>
      </c>
      <c r="F206" s="246">
        <v>70696038.659999996</v>
      </c>
      <c r="G206" s="247">
        <f>F206*0.9895</f>
        <v>69953730.25</v>
      </c>
      <c r="H206" s="326"/>
      <c r="I206" s="213"/>
      <c r="J206" s="213"/>
    </row>
    <row r="207" spans="1:10" s="209" customFormat="1" ht="23.25" customHeight="1" x14ac:dyDescent="0.3">
      <c r="A207" s="203"/>
      <c r="B207" s="237" t="s">
        <v>272</v>
      </c>
      <c r="C207" s="245">
        <v>3</v>
      </c>
      <c r="D207" s="229">
        <v>43364</v>
      </c>
      <c r="E207" s="229">
        <v>45198</v>
      </c>
      <c r="F207" s="246">
        <v>25611862.829999998</v>
      </c>
      <c r="G207" s="247">
        <f>F207*0.9895</f>
        <v>25342938.27</v>
      </c>
      <c r="H207" s="326"/>
      <c r="I207" s="213"/>
      <c r="J207" s="213"/>
    </row>
    <row r="208" spans="1:10" s="209" customFormat="1" ht="23.25" customHeight="1" x14ac:dyDescent="0.3">
      <c r="A208" s="203"/>
      <c r="B208" s="237" t="s">
        <v>134</v>
      </c>
      <c r="C208" s="245">
        <v>3</v>
      </c>
      <c r="D208" s="229">
        <v>43427</v>
      </c>
      <c r="E208" s="229">
        <v>45198</v>
      </c>
      <c r="F208" s="246">
        <v>23994303.370000001</v>
      </c>
      <c r="G208" s="247">
        <v>23634388.82</v>
      </c>
      <c r="H208" s="326"/>
      <c r="I208" s="213"/>
      <c r="J208" s="213"/>
    </row>
    <row r="209" spans="1:10" s="209" customFormat="1" ht="23.25" customHeight="1" x14ac:dyDescent="0.3">
      <c r="A209" s="203"/>
      <c r="B209" s="237" t="s">
        <v>353</v>
      </c>
      <c r="C209" s="245">
        <v>3</v>
      </c>
      <c r="D209" s="229">
        <v>43581</v>
      </c>
      <c r="E209" s="229">
        <v>45198</v>
      </c>
      <c r="F209" s="246">
        <v>93000000</v>
      </c>
      <c r="G209" s="247">
        <v>92581500</v>
      </c>
      <c r="H209" s="326"/>
      <c r="I209" s="213"/>
      <c r="J209" s="213"/>
    </row>
    <row r="210" spans="1:10" s="209" customFormat="1" ht="23.25" customHeight="1" x14ac:dyDescent="0.3">
      <c r="A210" s="203"/>
      <c r="B210" s="237" t="s">
        <v>273</v>
      </c>
      <c r="C210" s="245">
        <v>3</v>
      </c>
      <c r="D210" s="229">
        <v>43609</v>
      </c>
      <c r="E210" s="229">
        <v>45198</v>
      </c>
      <c r="F210" s="246">
        <f>20000000+20000000+20000000+19204423.15</f>
        <v>79204423.150000006</v>
      </c>
      <c r="G210" s="247">
        <f>19940000+19940000+19940000+19146809.88</f>
        <v>78966809.879999995</v>
      </c>
      <c r="H210" s="326"/>
      <c r="I210" s="213"/>
      <c r="J210" s="213"/>
    </row>
    <row r="211" spans="1:10" s="209" customFormat="1" ht="23.25" customHeight="1" x14ac:dyDescent="0.3">
      <c r="A211" s="203"/>
      <c r="B211" s="313" t="s">
        <v>274</v>
      </c>
      <c r="C211" s="278"/>
      <c r="D211" s="314"/>
      <c r="E211" s="314"/>
      <c r="F211" s="220">
        <f>SUM(F212)</f>
        <v>69617063.469999999</v>
      </c>
      <c r="G211" s="220">
        <f>SUM(G212)</f>
        <v>69510549.359999999</v>
      </c>
      <c r="H211" s="326"/>
      <c r="I211" s="213"/>
      <c r="J211" s="213"/>
    </row>
    <row r="212" spans="1:10" s="209" customFormat="1" ht="23.25" customHeight="1" x14ac:dyDescent="0.3">
      <c r="A212" s="203"/>
      <c r="B212" s="237" t="s">
        <v>136</v>
      </c>
      <c r="C212" s="245">
        <v>3.75</v>
      </c>
      <c r="D212" s="229">
        <v>43572</v>
      </c>
      <c r="E212" s="229">
        <v>46129</v>
      </c>
      <c r="F212" s="246">
        <v>69617063.469999999</v>
      </c>
      <c r="G212" s="247">
        <v>69510549.359999999</v>
      </c>
      <c r="H212" s="326"/>
      <c r="I212" s="213"/>
      <c r="J212" s="213"/>
    </row>
    <row r="213" spans="1:10" s="209" customFormat="1" ht="27.75" customHeight="1" x14ac:dyDescent="0.3">
      <c r="A213" s="203"/>
      <c r="B213" s="321" t="s">
        <v>139</v>
      </c>
      <c r="C213" s="226"/>
      <c r="D213" s="235"/>
      <c r="E213" s="235"/>
      <c r="F213" s="249">
        <f>SUM(F214:F218)</f>
        <v>264374620.30000001</v>
      </c>
      <c r="G213" s="220">
        <f>SUM(G214:G218)</f>
        <v>264374620.30000001</v>
      </c>
      <c r="H213" s="208"/>
      <c r="I213" s="208"/>
      <c r="J213" s="208"/>
    </row>
    <row r="214" spans="1:10" s="209" customFormat="1" ht="33.75" customHeight="1" x14ac:dyDescent="0.3">
      <c r="A214" s="203"/>
      <c r="B214" s="250" t="s">
        <v>160</v>
      </c>
      <c r="C214" s="234">
        <v>3</v>
      </c>
      <c r="D214" s="229">
        <v>43712</v>
      </c>
      <c r="E214" s="229">
        <v>47365</v>
      </c>
      <c r="F214" s="230">
        <v>145874620.30000001</v>
      </c>
      <c r="G214" s="230">
        <v>145874620.30000001</v>
      </c>
      <c r="H214" s="208"/>
      <c r="I214" s="208"/>
      <c r="J214" s="208"/>
    </row>
    <row r="215" spans="1:10" s="209" customFormat="1" ht="33.75" customHeight="1" x14ac:dyDescent="0.3">
      <c r="A215" s="203"/>
      <c r="B215" s="250" t="s">
        <v>278</v>
      </c>
      <c r="C215" s="234">
        <v>3.25</v>
      </c>
      <c r="D215" s="229" t="s">
        <v>279</v>
      </c>
      <c r="E215" s="229" t="s">
        <v>280</v>
      </c>
      <c r="F215" s="230">
        <v>30000000</v>
      </c>
      <c r="G215" s="230">
        <v>30000000</v>
      </c>
      <c r="H215" s="208"/>
      <c r="I215" s="208"/>
      <c r="J215" s="208"/>
    </row>
    <row r="216" spans="1:10" s="209" customFormat="1" ht="33.75" customHeight="1" x14ac:dyDescent="0.3">
      <c r="A216" s="203"/>
      <c r="B216" s="250" t="s">
        <v>281</v>
      </c>
      <c r="C216" s="234">
        <v>3.65</v>
      </c>
      <c r="D216" s="229" t="s">
        <v>282</v>
      </c>
      <c r="E216" s="229" t="s">
        <v>283</v>
      </c>
      <c r="F216" s="230">
        <v>41469432.689999998</v>
      </c>
      <c r="G216" s="230">
        <v>41469432.689999998</v>
      </c>
      <c r="H216" s="208"/>
      <c r="I216" s="208"/>
      <c r="J216" s="208"/>
    </row>
    <row r="217" spans="1:10" s="209" customFormat="1" ht="33.75" customHeight="1" x14ac:dyDescent="0.3">
      <c r="A217" s="203"/>
      <c r="B217" s="250" t="s">
        <v>281</v>
      </c>
      <c r="C217" s="234">
        <v>3.65</v>
      </c>
      <c r="D217" s="229" t="s">
        <v>282</v>
      </c>
      <c r="E217" s="229" t="s">
        <v>283</v>
      </c>
      <c r="F217" s="230">
        <v>36872355.520000003</v>
      </c>
      <c r="G217" s="230">
        <v>36872355.520000003</v>
      </c>
      <c r="H217" s="208"/>
      <c r="I217" s="208"/>
      <c r="J217" s="208"/>
    </row>
    <row r="218" spans="1:10" s="209" customFormat="1" ht="42.75" customHeight="1" x14ac:dyDescent="0.3">
      <c r="A218" s="203"/>
      <c r="B218" s="250" t="s">
        <v>281</v>
      </c>
      <c r="C218" s="234">
        <v>3.65</v>
      </c>
      <c r="D218" s="229" t="s">
        <v>282</v>
      </c>
      <c r="E218" s="229" t="s">
        <v>283</v>
      </c>
      <c r="F218" s="230">
        <v>10158211.789999999</v>
      </c>
      <c r="G218" s="230">
        <v>10158211.789999999</v>
      </c>
      <c r="H218" s="208"/>
      <c r="I218" s="208"/>
      <c r="J218" s="208"/>
    </row>
    <row r="219" spans="1:10" ht="24" customHeight="1" x14ac:dyDescent="0.35">
      <c r="B219" s="204" t="s">
        <v>354</v>
      </c>
      <c r="C219" s="327"/>
      <c r="D219" s="327"/>
      <c r="E219" s="327"/>
      <c r="F219" s="204"/>
      <c r="G219" s="328"/>
    </row>
    <row r="220" spans="1:10" ht="21.75" customHeight="1" x14ac:dyDescent="0.35">
      <c r="B220" s="260" t="s">
        <v>355</v>
      </c>
      <c r="C220" s="327"/>
      <c r="D220" s="327"/>
      <c r="E220" s="327"/>
      <c r="F220" s="204"/>
      <c r="G220" s="328"/>
    </row>
    <row r="221" spans="1:10" ht="21.75" customHeight="1" x14ac:dyDescent="0.35">
      <c r="B221" s="291" t="s">
        <v>356</v>
      </c>
      <c r="C221" s="289"/>
      <c r="D221" s="289"/>
      <c r="E221" s="289"/>
      <c r="F221" s="260"/>
      <c r="G221" s="290"/>
    </row>
    <row r="222" spans="1:10" ht="23.25" customHeight="1" x14ac:dyDescent="0.35">
      <c r="B222" s="291"/>
      <c r="C222" s="289"/>
      <c r="D222" s="289"/>
      <c r="E222" s="289"/>
      <c r="F222" s="260"/>
      <c r="G222" s="290"/>
    </row>
    <row r="223" spans="1:10" x14ac:dyDescent="0.35">
      <c r="B223" s="329"/>
      <c r="C223" s="330"/>
      <c r="D223" s="330"/>
      <c r="E223" s="330"/>
      <c r="F223" s="330"/>
      <c r="G223" s="260"/>
    </row>
    <row r="225" spans="2:7" s="207" customFormat="1" ht="18.75" customHeight="1" x14ac:dyDescent="0.3">
      <c r="B225" s="1626" t="s">
        <v>212</v>
      </c>
      <c r="C225" s="1626"/>
      <c r="D225" s="1626"/>
      <c r="E225" s="1626" t="s">
        <v>163</v>
      </c>
      <c r="F225" s="1626"/>
      <c r="G225" s="1626"/>
    </row>
    <row r="226" spans="2:7" s="207" customFormat="1" ht="15" x14ac:dyDescent="0.3">
      <c r="B226" s="1626" t="s">
        <v>213</v>
      </c>
      <c r="C226" s="1626"/>
      <c r="D226" s="1626"/>
      <c r="E226" s="1626" t="s">
        <v>357</v>
      </c>
      <c r="F226" s="1626"/>
      <c r="G226" s="1626"/>
    </row>
    <row r="227" spans="2:7" s="207" customFormat="1" ht="29.25" customHeight="1" x14ac:dyDescent="0.3">
      <c r="B227" s="1623" t="s">
        <v>358</v>
      </c>
      <c r="C227" s="1623"/>
      <c r="D227" s="1623"/>
      <c r="E227" s="1623" t="s">
        <v>167</v>
      </c>
      <c r="F227" s="1623"/>
      <c r="G227" s="1623"/>
    </row>
  </sheetData>
  <mergeCells count="11">
    <mergeCell ref="B226:D226"/>
    <mergeCell ref="E226:G226"/>
    <mergeCell ref="B227:D227"/>
    <mergeCell ref="E227:G227"/>
    <mergeCell ref="B2:G2"/>
    <mergeCell ref="B3:G3"/>
    <mergeCell ref="B4:G4"/>
    <mergeCell ref="B5:G5"/>
    <mergeCell ref="B6:G6"/>
    <mergeCell ref="B225:D225"/>
    <mergeCell ref="E225:G22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34"/>
  <sheetViews>
    <sheetView workbookViewId="0">
      <selection activeCell="F10" sqref="F10:F13"/>
    </sheetView>
  </sheetViews>
  <sheetFormatPr baseColWidth="10" defaultColWidth="18" defaultRowHeight="21" customHeight="1" x14ac:dyDescent="0.35"/>
  <cols>
    <col min="1" max="1" width="5.453125" style="355" customWidth="1"/>
    <col min="2" max="2" width="30.54296875" style="456" customWidth="1"/>
    <col min="3" max="5" width="20.453125" style="456" customWidth="1"/>
    <col min="6" max="6" width="20.54296875" style="456" customWidth="1"/>
    <col min="7" max="7" width="20.54296875" style="457" customWidth="1"/>
    <col min="8" max="8" width="20.54296875" style="458" customWidth="1"/>
    <col min="9" max="10" width="20.54296875" style="457" customWidth="1"/>
    <col min="11" max="11" width="29" style="358" customWidth="1"/>
    <col min="12" max="12" width="20.54296875" style="358" customWidth="1"/>
    <col min="13" max="13" width="22.26953125" style="358" customWidth="1"/>
    <col min="14" max="17" width="18" style="355"/>
    <col min="18" max="22" width="18" style="359"/>
    <col min="23" max="16384" width="18" style="355"/>
  </cols>
  <sheetData>
    <row r="1" spans="1:22" s="331" customFormat="1" ht="15.5" x14ac:dyDescent="0.25">
      <c r="B1" s="332"/>
      <c r="C1" s="333"/>
      <c r="D1" s="333"/>
      <c r="E1" s="333"/>
      <c r="F1" s="333"/>
      <c r="G1" s="334" t="s">
        <v>360</v>
      </c>
      <c r="H1" s="335"/>
      <c r="I1" s="336"/>
      <c r="J1" s="336"/>
      <c r="K1" s="337"/>
      <c r="L1" s="337"/>
      <c r="M1" s="338"/>
      <c r="N1" s="1654"/>
      <c r="O1" s="1654"/>
      <c r="P1" s="1654"/>
      <c r="Q1" s="1654"/>
      <c r="R1" s="1654"/>
      <c r="S1" s="340"/>
      <c r="T1" s="340"/>
      <c r="U1" s="340"/>
      <c r="V1" s="340"/>
    </row>
    <row r="2" spans="1:22" s="341" customFormat="1" ht="15.5" x14ac:dyDescent="0.25">
      <c r="B2" s="1655" t="s">
        <v>0</v>
      </c>
      <c r="C2" s="1656"/>
      <c r="D2" s="1656"/>
      <c r="E2" s="1656"/>
      <c r="F2" s="1656"/>
      <c r="G2" s="1657"/>
      <c r="H2" s="343"/>
      <c r="I2" s="344"/>
      <c r="J2" s="344"/>
      <c r="K2" s="345"/>
      <c r="L2" s="345"/>
      <c r="M2" s="1658"/>
      <c r="N2" s="1658"/>
      <c r="O2" s="1658"/>
      <c r="P2" s="1658"/>
      <c r="Q2" s="1658"/>
      <c r="R2" s="1658"/>
      <c r="S2" s="346"/>
      <c r="T2" s="346"/>
      <c r="U2" s="346"/>
      <c r="V2" s="346"/>
    </row>
    <row r="3" spans="1:22" s="352" customFormat="1" ht="15.5" x14ac:dyDescent="0.25">
      <c r="A3" s="347"/>
      <c r="B3" s="1659" t="s">
        <v>361</v>
      </c>
      <c r="C3" s="1660"/>
      <c r="D3" s="1660"/>
      <c r="E3" s="1660"/>
      <c r="F3" s="1660"/>
      <c r="G3" s="1661"/>
      <c r="H3" s="348"/>
      <c r="I3" s="349"/>
      <c r="J3" s="349"/>
      <c r="K3" s="350"/>
      <c r="L3" s="350"/>
      <c r="M3" s="1662"/>
      <c r="N3" s="351"/>
      <c r="O3" s="351"/>
      <c r="P3" s="351"/>
      <c r="Q3" s="351"/>
      <c r="R3" s="351"/>
      <c r="S3" s="346"/>
      <c r="T3" s="346"/>
      <c r="U3" s="346"/>
      <c r="V3" s="347"/>
    </row>
    <row r="4" spans="1:22" s="341" customFormat="1" ht="15.5" x14ac:dyDescent="0.25">
      <c r="B4" s="1663" t="str">
        <f>'[9]VENC. '!$B$4</f>
        <v>AL 30 DE JUNIO 2022</v>
      </c>
      <c r="C4" s="1664"/>
      <c r="D4" s="1664"/>
      <c r="E4" s="1664"/>
      <c r="F4" s="1664"/>
      <c r="G4" s="1665"/>
      <c r="H4" s="343"/>
      <c r="I4" s="344"/>
      <c r="J4" s="344"/>
      <c r="K4" s="350"/>
      <c r="L4" s="350"/>
      <c r="M4" s="1662"/>
      <c r="N4" s="353"/>
      <c r="O4" s="353"/>
      <c r="P4" s="345"/>
      <c r="Q4" s="345"/>
      <c r="R4" s="354"/>
      <c r="S4" s="346"/>
      <c r="T4" s="346"/>
      <c r="U4" s="346"/>
      <c r="V4" s="346"/>
    </row>
    <row r="5" spans="1:22" ht="15.5" x14ac:dyDescent="0.35">
      <c r="B5" s="1649" t="s">
        <v>362</v>
      </c>
      <c r="C5" s="1651" t="s">
        <v>363</v>
      </c>
      <c r="D5" s="1652"/>
      <c r="E5" s="1649" t="s">
        <v>364</v>
      </c>
      <c r="F5" s="1649" t="s">
        <v>365</v>
      </c>
      <c r="G5" s="1649" t="s">
        <v>366</v>
      </c>
      <c r="H5" s="356"/>
      <c r="I5" s="357"/>
      <c r="J5" s="357"/>
      <c r="K5" s="1653" t="s">
        <v>367</v>
      </c>
      <c r="M5" s="1640"/>
      <c r="N5" s="1640"/>
      <c r="O5" s="1640"/>
      <c r="P5" s="1640"/>
      <c r="Q5" s="1640"/>
      <c r="R5" s="1640"/>
    </row>
    <row r="6" spans="1:22" ht="15.5" x14ac:dyDescent="0.35">
      <c r="B6" s="1649"/>
      <c r="C6" s="1651"/>
      <c r="D6" s="1652"/>
      <c r="E6" s="1649"/>
      <c r="F6" s="1649"/>
      <c r="G6" s="1649"/>
      <c r="H6" s="356"/>
      <c r="I6" s="357"/>
      <c r="J6" s="357"/>
      <c r="K6" s="1649"/>
      <c r="M6" s="1640"/>
      <c r="N6" s="1640"/>
      <c r="O6" s="1640"/>
      <c r="P6" s="1640"/>
      <c r="Q6" s="1640"/>
      <c r="R6" s="1640"/>
    </row>
    <row r="7" spans="1:22" ht="15.5" x14ac:dyDescent="0.35">
      <c r="B7" s="1650"/>
      <c r="C7" s="360" t="s">
        <v>368</v>
      </c>
      <c r="D7" s="361" t="s">
        <v>369</v>
      </c>
      <c r="E7" s="1650"/>
      <c r="F7" s="362" t="s">
        <v>370</v>
      </c>
      <c r="G7" s="1650"/>
      <c r="H7" s="363"/>
      <c r="I7" s="364"/>
      <c r="J7" s="364"/>
      <c r="K7" s="1650"/>
      <c r="L7" s="353"/>
      <c r="M7" s="354"/>
      <c r="N7" s="338"/>
      <c r="O7" s="338"/>
      <c r="P7" s="338"/>
      <c r="Q7" s="338"/>
      <c r="R7" s="338"/>
      <c r="S7" s="340"/>
    </row>
    <row r="8" spans="1:22" s="365" customFormat="1" ht="15.5" x14ac:dyDescent="0.25">
      <c r="B8" s="1641" t="s">
        <v>371</v>
      </c>
      <c r="C8" s="1642"/>
      <c r="D8" s="1642"/>
      <c r="E8" s="1642"/>
      <c r="F8" s="366">
        <f>SUM(F9)</f>
        <v>124891924.98999999</v>
      </c>
      <c r="G8" s="367"/>
      <c r="H8" s="368"/>
      <c r="I8" s="369"/>
      <c r="J8" s="369"/>
      <c r="R8" s="353"/>
      <c r="S8" s="353"/>
      <c r="T8" s="353"/>
      <c r="U8" s="353"/>
      <c r="V8" s="353"/>
    </row>
    <row r="9" spans="1:22" s="370" customFormat="1" ht="15.5" x14ac:dyDescent="0.25">
      <c r="B9" s="371" t="s">
        <v>372</v>
      </c>
      <c r="C9" s="372"/>
      <c r="D9" s="372"/>
      <c r="E9" s="372"/>
      <c r="F9" s="373">
        <f>SUM(F10:F23)</f>
        <v>124891924.98999999</v>
      </c>
      <c r="G9" s="367"/>
      <c r="H9" s="368"/>
      <c r="I9" s="369"/>
      <c r="J9" s="369"/>
      <c r="K9" s="353"/>
      <c r="L9" s="353"/>
      <c r="M9" s="365"/>
      <c r="N9" s="374"/>
      <c r="R9" s="374"/>
      <c r="S9" s="374"/>
      <c r="T9" s="374"/>
      <c r="U9" s="374"/>
      <c r="V9" s="374"/>
    </row>
    <row r="10" spans="1:22" s="375" customFormat="1" ht="15.5" x14ac:dyDescent="0.25">
      <c r="B10" s="376">
        <v>110000081820</v>
      </c>
      <c r="C10" s="377">
        <v>44741</v>
      </c>
      <c r="D10" s="377" t="s">
        <v>373</v>
      </c>
      <c r="E10" s="378" t="s">
        <v>374</v>
      </c>
      <c r="F10" s="379">
        <v>23626464.120000001</v>
      </c>
      <c r="G10" s="380">
        <v>0.75</v>
      </c>
      <c r="H10" s="381">
        <f>F10*G10/100</f>
        <v>177198.48</v>
      </c>
      <c r="I10" s="382"/>
      <c r="J10" s="380"/>
      <c r="K10" s="383" t="s">
        <v>375</v>
      </c>
      <c r="L10" s="384"/>
      <c r="R10" s="385"/>
      <c r="S10" s="385"/>
      <c r="T10" s="385"/>
      <c r="U10" s="385"/>
      <c r="V10" s="385"/>
    </row>
    <row r="11" spans="1:22" s="392" customFormat="1" ht="15.5" x14ac:dyDescent="0.25">
      <c r="A11" s="386"/>
      <c r="B11" s="376">
        <v>110000081810</v>
      </c>
      <c r="C11" s="377">
        <v>44741</v>
      </c>
      <c r="D11" s="377" t="s">
        <v>373</v>
      </c>
      <c r="E11" s="387" t="s">
        <v>374</v>
      </c>
      <c r="F11" s="388">
        <v>1913801.87</v>
      </c>
      <c r="G11" s="389">
        <v>0.75</v>
      </c>
      <c r="H11" s="381">
        <f t="shared" ref="H11:H24" si="0">F11*G11/100</f>
        <v>14353.51</v>
      </c>
      <c r="I11" s="389"/>
      <c r="J11" s="389"/>
      <c r="K11" s="390" t="s">
        <v>375</v>
      </c>
      <c r="L11" s="391"/>
      <c r="R11" s="393"/>
      <c r="S11" s="393"/>
      <c r="T11" s="393"/>
      <c r="U11" s="393"/>
      <c r="V11" s="393"/>
    </row>
    <row r="12" spans="1:22" s="392" customFormat="1" ht="15.5" x14ac:dyDescent="0.25">
      <c r="A12" s="386"/>
      <c r="B12" s="376">
        <v>110000081848</v>
      </c>
      <c r="C12" s="394">
        <v>44741</v>
      </c>
      <c r="D12" s="395" t="s">
        <v>373</v>
      </c>
      <c r="E12" s="387" t="s">
        <v>374</v>
      </c>
      <c r="F12" s="379">
        <v>6844919.3399999999</v>
      </c>
      <c r="G12" s="389">
        <v>0.75</v>
      </c>
      <c r="H12" s="381">
        <f t="shared" si="0"/>
        <v>51336.9</v>
      </c>
      <c r="I12" s="389"/>
      <c r="J12" s="389"/>
      <c r="K12" s="383" t="s">
        <v>375</v>
      </c>
      <c r="L12" s="391"/>
      <c r="R12" s="393"/>
      <c r="S12" s="393"/>
      <c r="T12" s="393"/>
      <c r="U12" s="393"/>
      <c r="V12" s="393"/>
    </row>
    <row r="13" spans="1:22" s="392" customFormat="1" ht="15.5" x14ac:dyDescent="0.25">
      <c r="A13" s="386"/>
      <c r="B13" s="396">
        <v>110000081839</v>
      </c>
      <c r="C13" s="394">
        <v>44741</v>
      </c>
      <c r="D13" s="395" t="s">
        <v>373</v>
      </c>
      <c r="E13" s="397" t="s">
        <v>374</v>
      </c>
      <c r="F13" s="379">
        <v>20815165.670000002</v>
      </c>
      <c r="G13" s="380">
        <v>0.75</v>
      </c>
      <c r="H13" s="381">
        <f t="shared" si="0"/>
        <v>156113.74</v>
      </c>
      <c r="I13" s="380"/>
      <c r="J13" s="380"/>
      <c r="K13" s="398" t="s">
        <v>375</v>
      </c>
      <c r="L13" s="391"/>
      <c r="R13" s="393"/>
      <c r="S13" s="393"/>
      <c r="T13" s="393"/>
      <c r="U13" s="393"/>
      <c r="V13" s="393"/>
    </row>
    <row r="14" spans="1:22" ht="15.5" x14ac:dyDescent="0.35">
      <c r="A14" s="370"/>
      <c r="B14" s="399">
        <v>110000060033</v>
      </c>
      <c r="C14" s="400">
        <v>43192</v>
      </c>
      <c r="D14" s="401">
        <v>45019</v>
      </c>
      <c r="E14" s="402" t="s">
        <v>376</v>
      </c>
      <c r="F14" s="403">
        <v>7000000</v>
      </c>
      <c r="G14" s="404">
        <v>2.88</v>
      </c>
      <c r="H14" s="381">
        <f t="shared" si="0"/>
        <v>201600</v>
      </c>
      <c r="I14" s="404"/>
      <c r="J14" s="404"/>
      <c r="K14" s="383" t="s">
        <v>375</v>
      </c>
      <c r="L14" s="405">
        <v>957</v>
      </c>
    </row>
    <row r="15" spans="1:22" s="365" customFormat="1" ht="15.5" x14ac:dyDescent="0.25">
      <c r="B15" s="399">
        <v>110000060490</v>
      </c>
      <c r="C15" s="406" t="s">
        <v>377</v>
      </c>
      <c r="D15" s="407" t="s">
        <v>378</v>
      </c>
      <c r="E15" s="408" t="s">
        <v>376</v>
      </c>
      <c r="F15" s="409">
        <v>1500000</v>
      </c>
      <c r="G15" s="404">
        <v>2.88</v>
      </c>
      <c r="H15" s="381">
        <f t="shared" si="0"/>
        <v>43200</v>
      </c>
      <c r="I15" s="404"/>
      <c r="J15" s="404"/>
      <c r="K15" s="383" t="s">
        <v>375</v>
      </c>
      <c r="L15" s="405"/>
      <c r="R15" s="353"/>
      <c r="S15" s="353"/>
      <c r="T15" s="353"/>
      <c r="U15" s="353"/>
      <c r="V15" s="353"/>
    </row>
    <row r="16" spans="1:22" s="365" customFormat="1" ht="15.5" x14ac:dyDescent="0.25">
      <c r="B16" s="399">
        <v>110000049072</v>
      </c>
      <c r="C16" s="400">
        <v>42947</v>
      </c>
      <c r="D16" s="400">
        <v>45138</v>
      </c>
      <c r="E16" s="410" t="s">
        <v>379</v>
      </c>
      <c r="F16" s="411">
        <v>1468558.75</v>
      </c>
      <c r="G16" s="412">
        <v>3</v>
      </c>
      <c r="H16" s="381">
        <f t="shared" si="0"/>
        <v>44056.76</v>
      </c>
      <c r="I16" s="412"/>
      <c r="J16" s="412"/>
      <c r="K16" s="383" t="s">
        <v>375</v>
      </c>
      <c r="L16" s="405">
        <v>826</v>
      </c>
      <c r="M16" s="413"/>
      <c r="N16" s="353"/>
      <c r="R16" s="353"/>
      <c r="S16" s="353"/>
      <c r="T16" s="353"/>
      <c r="U16" s="353"/>
      <c r="V16" s="353"/>
    </row>
    <row r="17" spans="1:22" ht="15.5" x14ac:dyDescent="0.35">
      <c r="A17" s="370"/>
      <c r="B17" s="414">
        <v>110000052461</v>
      </c>
      <c r="C17" s="401">
        <v>42989</v>
      </c>
      <c r="D17" s="401">
        <v>45180</v>
      </c>
      <c r="E17" s="410" t="s">
        <v>379</v>
      </c>
      <c r="F17" s="403">
        <v>745869</v>
      </c>
      <c r="G17" s="404">
        <v>3</v>
      </c>
      <c r="H17" s="381">
        <f t="shared" si="0"/>
        <v>22376.07</v>
      </c>
      <c r="I17" s="404"/>
      <c r="J17" s="404"/>
      <c r="K17" s="383" t="s">
        <v>375</v>
      </c>
      <c r="L17" s="405">
        <v>2038</v>
      </c>
    </row>
    <row r="18" spans="1:22" ht="15.5" x14ac:dyDescent="0.35">
      <c r="A18" s="370"/>
      <c r="B18" s="415">
        <v>110000034964</v>
      </c>
      <c r="C18" s="401">
        <v>43021</v>
      </c>
      <c r="D18" s="401">
        <v>45211</v>
      </c>
      <c r="E18" s="402" t="s">
        <v>379</v>
      </c>
      <c r="F18" s="403">
        <v>25309538.07</v>
      </c>
      <c r="G18" s="404">
        <v>3</v>
      </c>
      <c r="H18" s="381">
        <f t="shared" si="0"/>
        <v>759286.14</v>
      </c>
      <c r="I18" s="404"/>
      <c r="J18" s="404"/>
      <c r="K18" s="383" t="s">
        <v>375</v>
      </c>
      <c r="L18" s="405" t="s">
        <v>380</v>
      </c>
    </row>
    <row r="19" spans="1:22" s="365" customFormat="1" ht="15.5" x14ac:dyDescent="0.25">
      <c r="B19" s="399">
        <v>110000060042</v>
      </c>
      <c r="C19" s="400">
        <v>43192</v>
      </c>
      <c r="D19" s="400">
        <v>45749</v>
      </c>
      <c r="E19" s="410" t="s">
        <v>381</v>
      </c>
      <c r="F19" s="411">
        <v>14213000</v>
      </c>
      <c r="G19" s="412">
        <v>3.15</v>
      </c>
      <c r="H19" s="381">
        <f t="shared" si="0"/>
        <v>447709.5</v>
      </c>
      <c r="I19" s="412"/>
      <c r="J19" s="412"/>
      <c r="K19" s="383" t="s">
        <v>375</v>
      </c>
      <c r="L19" s="405"/>
      <c r="R19" s="353"/>
      <c r="S19" s="353"/>
      <c r="T19" s="353"/>
      <c r="U19" s="353"/>
      <c r="V19" s="353"/>
    </row>
    <row r="20" spans="1:22" s="365" customFormat="1" ht="15.5" x14ac:dyDescent="0.25">
      <c r="B20" s="399">
        <v>110000060392</v>
      </c>
      <c r="C20" s="406" t="s">
        <v>377</v>
      </c>
      <c r="D20" s="407" t="s">
        <v>382</v>
      </c>
      <c r="E20" s="408" t="s">
        <v>381</v>
      </c>
      <c r="F20" s="409">
        <v>3097662</v>
      </c>
      <c r="G20" s="404">
        <v>3.15</v>
      </c>
      <c r="H20" s="381">
        <f t="shared" si="0"/>
        <v>97576.35</v>
      </c>
      <c r="I20" s="404"/>
      <c r="J20" s="404"/>
      <c r="K20" s="383" t="s">
        <v>375</v>
      </c>
      <c r="L20" s="405"/>
      <c r="R20" s="353"/>
      <c r="S20" s="353"/>
      <c r="T20" s="353"/>
      <c r="U20" s="353"/>
      <c r="V20" s="353"/>
    </row>
    <row r="21" spans="1:22" s="359" customFormat="1" ht="15.5" x14ac:dyDescent="0.35">
      <c r="A21" s="341"/>
      <c r="B21" s="416">
        <v>110000055015</v>
      </c>
      <c r="C21" s="417">
        <v>42964</v>
      </c>
      <c r="D21" s="417">
        <v>45887</v>
      </c>
      <c r="E21" s="418" t="s">
        <v>383</v>
      </c>
      <c r="F21" s="419">
        <f>15000000-554.52-554.52-554.52-554.52-554.52-554.52-554.52</f>
        <v>14996118.359999999</v>
      </c>
      <c r="G21" s="420">
        <v>3.25</v>
      </c>
      <c r="H21" s="381">
        <f t="shared" si="0"/>
        <v>487373.85</v>
      </c>
      <c r="I21" s="420"/>
      <c r="J21" s="420"/>
      <c r="K21" s="383" t="s">
        <v>375</v>
      </c>
      <c r="L21" s="405" t="s">
        <v>384</v>
      </c>
      <c r="M21" s="358"/>
      <c r="N21" s="355"/>
      <c r="O21" s="355"/>
      <c r="P21" s="355"/>
      <c r="Q21" s="355"/>
    </row>
    <row r="22" spans="1:22" ht="15.5" x14ac:dyDescent="0.35">
      <c r="A22" s="370"/>
      <c r="B22" s="414">
        <v>110000052935</v>
      </c>
      <c r="C22" s="401">
        <v>42975</v>
      </c>
      <c r="D22" s="401">
        <v>45897</v>
      </c>
      <c r="E22" s="402" t="s">
        <v>383</v>
      </c>
      <c r="F22" s="403">
        <v>2925441.92</v>
      </c>
      <c r="G22" s="404">
        <v>3.25</v>
      </c>
      <c r="H22" s="381">
        <f t="shared" si="0"/>
        <v>95076.86</v>
      </c>
      <c r="I22" s="404"/>
      <c r="J22" s="404"/>
      <c r="K22" s="383" t="s">
        <v>375</v>
      </c>
      <c r="L22" s="405" t="s">
        <v>385</v>
      </c>
    </row>
    <row r="23" spans="1:22" ht="15.5" x14ac:dyDescent="0.35">
      <c r="A23" s="370"/>
      <c r="B23" s="421" t="s">
        <v>386</v>
      </c>
      <c r="C23" s="401"/>
      <c r="D23" s="422"/>
      <c r="E23" s="423"/>
      <c r="F23" s="424">
        <f>SUM(F24)</f>
        <v>435385.89</v>
      </c>
      <c r="G23" s="425"/>
      <c r="H23" s="381"/>
      <c r="I23" s="369"/>
      <c r="J23" s="369"/>
      <c r="K23" s="426"/>
      <c r="L23" s="405"/>
    </row>
    <row r="24" spans="1:22" s="429" customFormat="1" ht="15.5" x14ac:dyDescent="0.35">
      <c r="A24" s="386"/>
      <c r="B24" s="396">
        <v>110000081857</v>
      </c>
      <c r="C24" s="394">
        <v>44741</v>
      </c>
      <c r="D24" s="395" t="s">
        <v>373</v>
      </c>
      <c r="E24" s="397" t="s">
        <v>374</v>
      </c>
      <c r="F24" s="379">
        <v>435385.89</v>
      </c>
      <c r="G24" s="380">
        <v>0.75</v>
      </c>
      <c r="H24" s="381">
        <f t="shared" si="0"/>
        <v>3265.39</v>
      </c>
      <c r="I24" s="427"/>
      <c r="J24" s="427"/>
      <c r="K24" s="393"/>
      <c r="L24" s="391"/>
      <c r="M24" s="428"/>
      <c r="R24" s="430"/>
      <c r="S24" s="430"/>
      <c r="T24" s="430"/>
      <c r="U24" s="430"/>
      <c r="V24" s="430"/>
    </row>
    <row r="25" spans="1:22" ht="15.5" x14ac:dyDescent="0.35">
      <c r="B25" s="431" t="s">
        <v>18</v>
      </c>
      <c r="C25" s="432"/>
      <c r="D25" s="433"/>
      <c r="E25" s="433"/>
      <c r="F25" s="433"/>
      <c r="G25" s="434"/>
      <c r="H25" s="435">
        <f>SUM(H10:H24)</f>
        <v>2600523.5499999998</v>
      </c>
      <c r="I25" s="460">
        <f>H25/F9</f>
        <v>2.0822E-2</v>
      </c>
      <c r="J25" s="436">
        <f>H25/F8</f>
        <v>2.0799999999999999E-2</v>
      </c>
      <c r="K25" s="358" t="s">
        <v>387</v>
      </c>
    </row>
    <row r="26" spans="1:22" ht="15.5" x14ac:dyDescent="0.35">
      <c r="B26" s="437" t="str">
        <f>[9]SEGUROS!$B$51</f>
        <v xml:space="preserve">FUENTE: DEPTO DE TESORERIA - DNF </v>
      </c>
      <c r="C26" s="438"/>
      <c r="D26" s="438"/>
      <c r="E26" s="1643" t="s">
        <v>388</v>
      </c>
      <c r="F26" s="1643"/>
      <c r="G26" s="439">
        <f>SUM(COUNT(G10:G24))</f>
        <v>14</v>
      </c>
      <c r="H26" s="440"/>
      <c r="I26" s="441"/>
      <c r="J26" s="441"/>
      <c r="K26" s="442"/>
      <c r="L26" s="442"/>
      <c r="M26" s="442"/>
    </row>
    <row r="27" spans="1:22" ht="15.5" x14ac:dyDescent="0.35">
      <c r="B27" s="443">
        <f>'[9]VENC. '!$B$167</f>
        <v>44778</v>
      </c>
      <c r="C27" s="444"/>
      <c r="D27" s="444"/>
      <c r="E27" s="444"/>
      <c r="F27" s="444"/>
      <c r="G27" s="445"/>
      <c r="H27" s="446"/>
      <c r="I27" s="447"/>
      <c r="J27" s="447"/>
    </row>
    <row r="28" spans="1:22" ht="15.5" x14ac:dyDescent="0.35">
      <c r="B28" s="448" t="str">
        <f>'[9]VENC. '!B$168</f>
        <v>Preparado por:    _______________________________________</v>
      </c>
      <c r="C28" s="449"/>
      <c r="D28" s="1644" t="str">
        <f>'[9]VENC. '!D$168</f>
        <v>Revisado por:      ___________________________________</v>
      </c>
      <c r="E28" s="1644"/>
      <c r="F28" s="1644"/>
      <c r="G28" s="1645"/>
      <c r="H28" s="435"/>
      <c r="I28" s="450"/>
      <c r="J28" s="450"/>
    </row>
    <row r="29" spans="1:22" ht="15.5" x14ac:dyDescent="0.35">
      <c r="B29" s="1646" t="str">
        <f>'[9]VENC. '!B$169</f>
        <v>CARLOS MIRANDA</v>
      </c>
      <c r="C29" s="1647"/>
      <c r="D29" s="1647" t="str">
        <f>'[9]VENC. '!D$169</f>
        <v>JULIO PEREZ</v>
      </c>
      <c r="E29" s="1647"/>
      <c r="F29" s="1647"/>
      <c r="G29" s="1648"/>
      <c r="H29" s="451"/>
      <c r="I29" s="452"/>
      <c r="J29" s="452"/>
    </row>
    <row r="30" spans="1:22" ht="15.5" x14ac:dyDescent="0.35">
      <c r="B30" s="1637" t="str">
        <f>'[9]VENC. '!B$170</f>
        <v>Analista Financiero II</v>
      </c>
      <c r="C30" s="1638"/>
      <c r="D30" s="1638" t="str">
        <f>'[9]VENC. '!D$170</f>
        <v>Jefe Encargado de la Sección de Análisis y Programación Financiera</v>
      </c>
      <c r="E30" s="1638"/>
      <c r="F30" s="1638"/>
      <c r="G30" s="1639"/>
      <c r="H30" s="451"/>
      <c r="I30" s="452"/>
      <c r="J30" s="452"/>
    </row>
    <row r="31" spans="1:22" ht="15.5" x14ac:dyDescent="0.35">
      <c r="B31" s="453"/>
      <c r="C31" s="453"/>
      <c r="D31" s="453"/>
      <c r="E31" s="453"/>
      <c r="F31" s="453"/>
      <c r="G31" s="453"/>
      <c r="H31" s="454"/>
      <c r="I31" s="453"/>
      <c r="J31" s="453"/>
    </row>
    <row r="32" spans="1:22" ht="15.5" x14ac:dyDescent="0.35">
      <c r="B32" s="344"/>
      <c r="C32" s="344"/>
      <c r="D32" s="455"/>
      <c r="E32" s="336"/>
    </row>
    <row r="33" spans="2:10" s="355" customFormat="1" ht="15.5" x14ac:dyDescent="0.35">
      <c r="B33" s="459"/>
      <c r="C33" s="456"/>
      <c r="D33" s="456"/>
      <c r="E33" s="456"/>
      <c r="F33" s="456"/>
      <c r="G33" s="457"/>
      <c r="H33" s="458"/>
      <c r="I33" s="457"/>
      <c r="J33" s="457"/>
    </row>
    <row r="34" spans="2:10" s="355" customFormat="1" ht="15.5" x14ac:dyDescent="0.35">
      <c r="B34" s="459"/>
      <c r="C34" s="456"/>
      <c r="D34" s="456"/>
      <c r="E34" s="456"/>
      <c r="F34" s="456"/>
      <c r="G34" s="457"/>
      <c r="H34" s="458"/>
      <c r="I34" s="457"/>
      <c r="J34" s="457"/>
    </row>
  </sheetData>
  <mergeCells count="20">
    <mergeCell ref="N1:R1"/>
    <mergeCell ref="B2:G2"/>
    <mergeCell ref="M2:R2"/>
    <mergeCell ref="B3:G3"/>
    <mergeCell ref="M3:M4"/>
    <mergeCell ref="B4:G4"/>
    <mergeCell ref="B30:C30"/>
    <mergeCell ref="D30:G30"/>
    <mergeCell ref="M5:R6"/>
    <mergeCell ref="B8:E8"/>
    <mergeCell ref="E26:F26"/>
    <mergeCell ref="D28:G28"/>
    <mergeCell ref="B29:C29"/>
    <mergeCell ref="D29:G29"/>
    <mergeCell ref="B5:B7"/>
    <mergeCell ref="C5:D6"/>
    <mergeCell ref="E5:E7"/>
    <mergeCell ref="F5:F6"/>
    <mergeCell ref="G5:G7"/>
    <mergeCell ref="K5:K7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W47"/>
  <sheetViews>
    <sheetView workbookViewId="0">
      <selection activeCell="H12" sqref="H12"/>
    </sheetView>
  </sheetViews>
  <sheetFormatPr baseColWidth="10" defaultColWidth="18" defaultRowHeight="15.5" x14ac:dyDescent="0.35"/>
  <cols>
    <col min="1" max="1" width="7" style="355" customWidth="1"/>
    <col min="2" max="2" width="30.7265625" style="456" customWidth="1"/>
    <col min="3" max="3" width="20.1796875" style="456" customWidth="1"/>
    <col min="4" max="4" width="18.1796875" style="456" customWidth="1"/>
    <col min="5" max="5" width="14.26953125" style="456" customWidth="1"/>
    <col min="6" max="6" width="23" style="456" customWidth="1"/>
    <col min="7" max="7" width="20.1796875" style="457" customWidth="1"/>
    <col min="8" max="8" width="20.1796875" style="458" customWidth="1"/>
    <col min="9" max="9" width="20.1796875" style="543" customWidth="1"/>
    <col min="10" max="11" width="20.1796875" style="458" customWidth="1"/>
    <col min="12" max="12" width="30" style="358" customWidth="1"/>
    <col min="13" max="13" width="17.453125" style="358" customWidth="1"/>
    <col min="14" max="14" width="21.453125" style="358" customWidth="1"/>
    <col min="15" max="18" width="18" style="355"/>
    <col min="19" max="23" width="18" style="359"/>
    <col min="24" max="16384" width="18" style="355"/>
  </cols>
  <sheetData>
    <row r="1" spans="1:23" s="331" customFormat="1" x14ac:dyDescent="0.25">
      <c r="B1" s="461"/>
      <c r="C1" s="462"/>
      <c r="D1" s="462"/>
      <c r="E1" s="462"/>
      <c r="F1" s="462"/>
      <c r="G1" s="463" t="s">
        <v>389</v>
      </c>
      <c r="H1" s="464"/>
      <c r="I1" s="465"/>
      <c r="J1" s="464"/>
      <c r="K1" s="464"/>
      <c r="L1" s="337"/>
      <c r="M1" s="337"/>
      <c r="N1" s="338"/>
      <c r="O1" s="1654"/>
      <c r="P1" s="1654"/>
      <c r="Q1" s="1654"/>
      <c r="R1" s="1654"/>
      <c r="S1" s="1654"/>
      <c r="T1" s="340"/>
      <c r="U1" s="340"/>
      <c r="V1" s="340"/>
      <c r="W1" s="340"/>
    </row>
    <row r="2" spans="1:23" s="331" customFormat="1" x14ac:dyDescent="0.25">
      <c r="B2" s="466"/>
      <c r="C2" s="467"/>
      <c r="D2" s="467"/>
      <c r="E2" s="467"/>
      <c r="F2" s="467"/>
      <c r="G2" s="468"/>
      <c r="H2" s="464"/>
      <c r="I2" s="465"/>
      <c r="J2" s="464"/>
      <c r="K2" s="464"/>
      <c r="L2" s="337"/>
      <c r="M2" s="337"/>
      <c r="N2" s="338"/>
      <c r="O2" s="339"/>
      <c r="P2" s="339"/>
      <c r="Q2" s="339"/>
      <c r="R2" s="339"/>
      <c r="S2" s="339"/>
      <c r="T2" s="340"/>
      <c r="U2" s="340"/>
      <c r="V2" s="340"/>
      <c r="W2" s="340"/>
    </row>
    <row r="3" spans="1:23" s="341" customFormat="1" x14ac:dyDescent="0.25">
      <c r="B3" s="1666" t="s">
        <v>0</v>
      </c>
      <c r="C3" s="1667"/>
      <c r="D3" s="1667"/>
      <c r="E3" s="1667"/>
      <c r="F3" s="1667"/>
      <c r="G3" s="1668"/>
      <c r="H3" s="469"/>
      <c r="I3" s="470"/>
      <c r="J3" s="469"/>
      <c r="K3" s="469"/>
      <c r="L3" s="345"/>
      <c r="M3" s="345"/>
      <c r="N3" s="1658"/>
      <c r="O3" s="1658"/>
      <c r="P3" s="1658"/>
      <c r="Q3" s="1658"/>
      <c r="R3" s="1658"/>
      <c r="S3" s="1658"/>
      <c r="T3" s="346"/>
      <c r="U3" s="346"/>
      <c r="V3" s="346"/>
      <c r="W3" s="346"/>
    </row>
    <row r="4" spans="1:23" s="352" customFormat="1" x14ac:dyDescent="0.25">
      <c r="A4" s="347"/>
      <c r="B4" s="1669" t="s">
        <v>390</v>
      </c>
      <c r="C4" s="1670"/>
      <c r="D4" s="1670"/>
      <c r="E4" s="1670"/>
      <c r="F4" s="1670"/>
      <c r="G4" s="1671"/>
      <c r="H4" s="471"/>
      <c r="I4" s="472"/>
      <c r="J4" s="471"/>
      <c r="K4" s="471"/>
      <c r="L4" s="350"/>
      <c r="M4" s="350"/>
      <c r="N4" s="1662"/>
      <c r="O4" s="351"/>
      <c r="P4" s="351"/>
      <c r="Q4" s="351"/>
      <c r="R4" s="351"/>
      <c r="S4" s="351"/>
      <c r="T4" s="346"/>
      <c r="U4" s="346"/>
      <c r="V4" s="346"/>
      <c r="W4" s="347"/>
    </row>
    <row r="5" spans="1:23" s="352" customFormat="1" x14ac:dyDescent="0.25">
      <c r="A5" s="347"/>
      <c r="B5" s="1669" t="s">
        <v>391</v>
      </c>
      <c r="C5" s="1670"/>
      <c r="D5" s="1670"/>
      <c r="E5" s="1670"/>
      <c r="F5" s="1670"/>
      <c r="G5" s="1671"/>
      <c r="H5" s="471"/>
      <c r="I5" s="472"/>
      <c r="J5" s="471"/>
      <c r="K5" s="471"/>
      <c r="L5" s="350"/>
      <c r="M5" s="350"/>
      <c r="N5" s="1662"/>
      <c r="O5" s="351"/>
      <c r="P5" s="351"/>
      <c r="Q5" s="351"/>
      <c r="R5" s="351"/>
      <c r="S5" s="351"/>
      <c r="T5" s="346"/>
      <c r="U5" s="346"/>
      <c r="V5" s="346"/>
      <c r="W5" s="347"/>
    </row>
    <row r="6" spans="1:23" s="341" customFormat="1" x14ac:dyDescent="0.25">
      <c r="B6" s="1672" t="str">
        <f>'[9]VENC. '!$B$4</f>
        <v>AL 30 DE JUNIO 2022</v>
      </c>
      <c r="C6" s="1673"/>
      <c r="D6" s="1673"/>
      <c r="E6" s="1673"/>
      <c r="F6" s="1673"/>
      <c r="G6" s="1674"/>
      <c r="H6" s="469"/>
      <c r="I6" s="470"/>
      <c r="J6" s="469"/>
      <c r="K6" s="469"/>
      <c r="L6" s="350"/>
      <c r="M6" s="350"/>
      <c r="N6" s="1662"/>
      <c r="O6" s="353"/>
      <c r="P6" s="353"/>
      <c r="Q6" s="345"/>
      <c r="R6" s="345"/>
      <c r="S6" s="354"/>
      <c r="T6" s="346"/>
      <c r="U6" s="346"/>
      <c r="V6" s="346"/>
      <c r="W6" s="346"/>
    </row>
    <row r="7" spans="1:23" x14ac:dyDescent="0.35">
      <c r="B7" s="1678" t="s">
        <v>362</v>
      </c>
      <c r="C7" s="1680" t="s">
        <v>363</v>
      </c>
      <c r="D7" s="1681"/>
      <c r="E7" s="1678" t="s">
        <v>364</v>
      </c>
      <c r="F7" s="1678" t="s">
        <v>365</v>
      </c>
      <c r="G7" s="1678" t="s">
        <v>366</v>
      </c>
      <c r="H7" s="473"/>
      <c r="I7" s="474"/>
      <c r="J7" s="473"/>
      <c r="K7" s="473"/>
      <c r="L7" s="1653" t="s">
        <v>367</v>
      </c>
      <c r="N7" s="1640"/>
      <c r="O7" s="1640"/>
      <c r="P7" s="1640"/>
      <c r="Q7" s="1640"/>
      <c r="R7" s="1640"/>
      <c r="S7" s="1640"/>
    </row>
    <row r="8" spans="1:23" x14ac:dyDescent="0.35">
      <c r="B8" s="1678"/>
      <c r="C8" s="1680"/>
      <c r="D8" s="1681"/>
      <c r="E8" s="1678"/>
      <c r="F8" s="1678"/>
      <c r="G8" s="1678"/>
      <c r="H8" s="473"/>
      <c r="I8" s="474"/>
      <c r="J8" s="473"/>
      <c r="K8" s="473"/>
      <c r="L8" s="1649"/>
      <c r="N8" s="1640"/>
      <c r="O8" s="1640"/>
      <c r="P8" s="1640"/>
      <c r="Q8" s="1640"/>
      <c r="R8" s="1640"/>
      <c r="S8" s="1640"/>
    </row>
    <row r="9" spans="1:23" ht="30" customHeight="1" x14ac:dyDescent="0.35">
      <c r="B9" s="1679"/>
      <c r="C9" s="475" t="s">
        <v>368</v>
      </c>
      <c r="D9" s="476" t="s">
        <v>369</v>
      </c>
      <c r="E9" s="1679"/>
      <c r="F9" s="477" t="s">
        <v>370</v>
      </c>
      <c r="G9" s="1679"/>
      <c r="H9" s="478"/>
      <c r="I9" s="479"/>
      <c r="J9" s="478"/>
      <c r="K9" s="478"/>
      <c r="L9" s="1650"/>
      <c r="M9" s="353"/>
      <c r="N9" s="354"/>
      <c r="O9" s="338"/>
      <c r="P9" s="338"/>
      <c r="Q9" s="338"/>
      <c r="R9" s="338"/>
      <c r="S9" s="338"/>
      <c r="T9" s="340"/>
    </row>
    <row r="10" spans="1:23" s="365" customFormat="1" x14ac:dyDescent="0.25">
      <c r="B10" s="1682" t="s">
        <v>392</v>
      </c>
      <c r="C10" s="1683"/>
      <c r="D10" s="1683"/>
      <c r="E10" s="1683"/>
      <c r="F10" s="480">
        <f>SUM(F11)+F17+F32+F35+F37</f>
        <v>402629487.16000003</v>
      </c>
      <c r="G10" s="481"/>
      <c r="H10" s="482"/>
      <c r="I10" s="483"/>
      <c r="J10" s="482"/>
      <c r="K10" s="482"/>
      <c r="S10" s="353"/>
      <c r="T10" s="353"/>
      <c r="U10" s="353"/>
      <c r="V10" s="353"/>
      <c r="W10" s="353"/>
    </row>
    <row r="11" spans="1:23" s="365" customFormat="1" x14ac:dyDescent="0.25">
      <c r="B11" s="484" t="s">
        <v>372</v>
      </c>
      <c r="C11" s="485"/>
      <c r="D11" s="485"/>
      <c r="E11" s="485"/>
      <c r="F11" s="486">
        <f>SUM(F12:F16)</f>
        <v>65942051.990000002</v>
      </c>
      <c r="G11" s="481"/>
      <c r="H11" s="482"/>
      <c r="I11" s="483"/>
      <c r="J11" s="482"/>
      <c r="K11" s="482"/>
      <c r="S11" s="353"/>
      <c r="T11" s="353"/>
      <c r="U11" s="353"/>
      <c r="V11" s="353"/>
      <c r="W11" s="353"/>
    </row>
    <row r="12" spans="1:23" s="370" customFormat="1" x14ac:dyDescent="0.25">
      <c r="A12" s="365"/>
      <c r="B12" s="487">
        <v>150000119610</v>
      </c>
      <c r="C12" s="488">
        <v>44742</v>
      </c>
      <c r="D12" s="489">
        <v>44743</v>
      </c>
      <c r="E12" s="490" t="s">
        <v>393</v>
      </c>
      <c r="F12" s="491">
        <v>56500000</v>
      </c>
      <c r="G12" s="492">
        <v>0.2</v>
      </c>
      <c r="H12" s="493">
        <f>F12*G12/100</f>
        <v>113000</v>
      </c>
      <c r="I12" s="494"/>
      <c r="J12" s="493"/>
      <c r="K12" s="493"/>
      <c r="L12" s="495" t="s">
        <v>375</v>
      </c>
      <c r="M12" s="365"/>
      <c r="N12" s="365"/>
      <c r="S12" s="374"/>
      <c r="T12" s="374"/>
      <c r="U12" s="374"/>
      <c r="V12" s="374"/>
      <c r="W12" s="374"/>
    </row>
    <row r="13" spans="1:23" s="365" customFormat="1" x14ac:dyDescent="0.25">
      <c r="B13" s="399">
        <v>110000013267</v>
      </c>
      <c r="C13" s="406" t="s">
        <v>394</v>
      </c>
      <c r="D13" s="406" t="s">
        <v>395</v>
      </c>
      <c r="E13" s="410" t="s">
        <v>376</v>
      </c>
      <c r="F13" s="411">
        <v>2000000</v>
      </c>
      <c r="G13" s="404">
        <v>2.88</v>
      </c>
      <c r="H13" s="493">
        <f t="shared" ref="H13:H38" si="0">F13*G13/100</f>
        <v>57600</v>
      </c>
      <c r="I13" s="496"/>
      <c r="J13" s="497"/>
      <c r="K13" s="497">
        <f>H17+H32</f>
        <v>12284554.66</v>
      </c>
      <c r="L13" s="495" t="s">
        <v>375</v>
      </c>
      <c r="M13" s="405" t="s">
        <v>396</v>
      </c>
      <c r="S13" s="353"/>
      <c r="T13" s="353"/>
      <c r="U13" s="353"/>
      <c r="V13" s="353"/>
      <c r="W13" s="353"/>
    </row>
    <row r="14" spans="1:23" s="370" customFormat="1" x14ac:dyDescent="0.25">
      <c r="A14" s="365"/>
      <c r="B14" s="498">
        <v>110000053315</v>
      </c>
      <c r="C14" s="499">
        <v>42916</v>
      </c>
      <c r="D14" s="500">
        <v>45838</v>
      </c>
      <c r="E14" s="501" t="s">
        <v>383</v>
      </c>
      <c r="F14" s="411">
        <v>2313170.35</v>
      </c>
      <c r="G14" s="502">
        <v>3.25</v>
      </c>
      <c r="H14" s="493">
        <f t="shared" si="0"/>
        <v>75178.039999999994</v>
      </c>
      <c r="I14" s="503"/>
      <c r="J14" s="504"/>
      <c r="K14" s="582">
        <f>K13/SUM(F11+F17)</f>
        <v>3.8226999999999997E-2</v>
      </c>
      <c r="L14" s="505" t="s">
        <v>375</v>
      </c>
      <c r="M14" s="365" t="s">
        <v>397</v>
      </c>
      <c r="N14" s="365"/>
      <c r="S14" s="374"/>
      <c r="T14" s="374"/>
      <c r="U14" s="374"/>
      <c r="V14" s="374"/>
      <c r="W14" s="374"/>
    </row>
    <row r="15" spans="1:23" s="370" customFormat="1" x14ac:dyDescent="0.25">
      <c r="A15" s="365"/>
      <c r="B15" s="416">
        <v>110000055015</v>
      </c>
      <c r="C15" s="417">
        <v>42964</v>
      </c>
      <c r="D15" s="417">
        <v>45887</v>
      </c>
      <c r="E15" s="418" t="s">
        <v>383</v>
      </c>
      <c r="F15" s="419">
        <f>554.52+554.52+554.52+554.52+554.52+554.52+554.52</f>
        <v>3881.64</v>
      </c>
      <c r="G15" s="420">
        <v>3.25</v>
      </c>
      <c r="H15" s="493">
        <f t="shared" si="0"/>
        <v>126.15</v>
      </c>
      <c r="I15" s="506"/>
      <c r="J15" s="507"/>
      <c r="K15" s="507"/>
      <c r="L15" s="398" t="s">
        <v>375</v>
      </c>
      <c r="M15" s="353" t="s">
        <v>384</v>
      </c>
      <c r="N15" s="365"/>
      <c r="S15" s="374"/>
      <c r="T15" s="374"/>
      <c r="U15" s="374"/>
      <c r="V15" s="374"/>
      <c r="W15" s="374"/>
    </row>
    <row r="16" spans="1:23" s="365" customFormat="1" x14ac:dyDescent="0.25">
      <c r="B16" s="414">
        <v>110000058643</v>
      </c>
      <c r="C16" s="407" t="s">
        <v>398</v>
      </c>
      <c r="D16" s="407" t="s">
        <v>399</v>
      </c>
      <c r="E16" s="402" t="s">
        <v>383</v>
      </c>
      <c r="F16" s="411">
        <v>5125000</v>
      </c>
      <c r="G16" s="404">
        <v>3.3</v>
      </c>
      <c r="H16" s="493">
        <f t="shared" si="0"/>
        <v>169125</v>
      </c>
      <c r="I16" s="496"/>
      <c r="J16" s="497"/>
      <c r="K16" s="497"/>
      <c r="L16" s="505" t="s">
        <v>375</v>
      </c>
      <c r="M16" s="365" t="s">
        <v>400</v>
      </c>
      <c r="S16" s="353"/>
      <c r="T16" s="353"/>
      <c r="U16" s="353"/>
      <c r="V16" s="353"/>
      <c r="W16" s="353"/>
    </row>
    <row r="17" spans="1:23" s="365" customFormat="1" x14ac:dyDescent="0.25">
      <c r="B17" s="508" t="s">
        <v>401</v>
      </c>
      <c r="C17" s="509"/>
      <c r="D17" s="509"/>
      <c r="E17" s="509"/>
      <c r="F17" s="486">
        <f>SUM(F18:F31)</f>
        <v>255413227.53</v>
      </c>
      <c r="G17" s="367"/>
      <c r="H17" s="493">
        <f>SUM(H12:H16)</f>
        <v>415029.19</v>
      </c>
      <c r="I17" s="510">
        <f>H17/F11</f>
        <v>6.2899999999999996E-3</v>
      </c>
      <c r="J17" s="368"/>
      <c r="K17" s="368"/>
      <c r="S17" s="353"/>
      <c r="T17" s="353"/>
      <c r="U17" s="353"/>
      <c r="V17" s="353"/>
      <c r="W17" s="353"/>
    </row>
    <row r="18" spans="1:23" s="370" customFormat="1" x14ac:dyDescent="0.25">
      <c r="A18" s="365"/>
      <c r="B18" s="511" t="s">
        <v>402</v>
      </c>
      <c r="C18" s="400">
        <v>42227</v>
      </c>
      <c r="D18" s="400">
        <v>44782</v>
      </c>
      <c r="E18" s="410" t="s">
        <v>381</v>
      </c>
      <c r="F18" s="411">
        <v>10805323.91</v>
      </c>
      <c r="G18" s="404">
        <v>4.8125</v>
      </c>
      <c r="H18" s="493">
        <f t="shared" si="0"/>
        <v>520006.21</v>
      </c>
      <c r="I18" s="496"/>
      <c r="J18" s="497"/>
      <c r="K18" s="497">
        <f>H17+H32</f>
        <v>12284554.66</v>
      </c>
      <c r="L18" s="505" t="s">
        <v>375</v>
      </c>
      <c r="M18" s="365"/>
      <c r="N18" s="365"/>
      <c r="S18" s="374"/>
      <c r="T18" s="374"/>
      <c r="U18" s="374"/>
      <c r="V18" s="374"/>
      <c r="W18" s="374"/>
    </row>
    <row r="19" spans="1:23" s="370" customFormat="1" x14ac:dyDescent="0.25">
      <c r="A19" s="365"/>
      <c r="B19" s="511" t="s">
        <v>403</v>
      </c>
      <c r="C19" s="400">
        <v>42431</v>
      </c>
      <c r="D19" s="400">
        <v>44986</v>
      </c>
      <c r="E19" s="410" t="s">
        <v>381</v>
      </c>
      <c r="F19" s="411">
        <v>34260698.609999999</v>
      </c>
      <c r="G19" s="404">
        <v>4.8125</v>
      </c>
      <c r="H19" s="493">
        <f t="shared" si="0"/>
        <v>1648796.12</v>
      </c>
      <c r="I19" s="496"/>
      <c r="J19" s="497"/>
      <c r="K19" s="497">
        <f>F11+F17</f>
        <v>321355279.51999998</v>
      </c>
      <c r="L19" s="505" t="s">
        <v>375</v>
      </c>
      <c r="M19" s="365"/>
      <c r="N19" s="365"/>
      <c r="S19" s="374"/>
      <c r="T19" s="374"/>
      <c r="U19" s="374"/>
      <c r="V19" s="374"/>
      <c r="W19" s="374"/>
    </row>
    <row r="20" spans="1:23" s="370" customFormat="1" x14ac:dyDescent="0.25">
      <c r="A20" s="365"/>
      <c r="B20" s="511" t="s">
        <v>404</v>
      </c>
      <c r="C20" s="400">
        <v>42599</v>
      </c>
      <c r="D20" s="400">
        <v>45155</v>
      </c>
      <c r="E20" s="410" t="s">
        <v>381</v>
      </c>
      <c r="F20" s="411">
        <v>16344806.85</v>
      </c>
      <c r="G20" s="404">
        <v>4.8</v>
      </c>
      <c r="H20" s="493">
        <f t="shared" si="0"/>
        <v>784550.73</v>
      </c>
      <c r="I20" s="496"/>
      <c r="J20" s="497"/>
      <c r="K20" s="496">
        <f>K18/K19</f>
        <v>3.8199999999999998E-2</v>
      </c>
      <c r="L20" s="505" t="s">
        <v>375</v>
      </c>
      <c r="M20" s="365"/>
      <c r="N20" s="365"/>
      <c r="S20" s="374"/>
      <c r="T20" s="374"/>
      <c r="U20" s="374"/>
      <c r="V20" s="374"/>
      <c r="W20" s="374"/>
    </row>
    <row r="21" spans="1:23" s="370" customFormat="1" x14ac:dyDescent="0.25">
      <c r="A21" s="365"/>
      <c r="B21" s="511" t="s">
        <v>405</v>
      </c>
      <c r="C21" s="400">
        <v>42250</v>
      </c>
      <c r="D21" s="406">
        <v>45170</v>
      </c>
      <c r="E21" s="410" t="s">
        <v>383</v>
      </c>
      <c r="F21" s="411">
        <v>13021909.07</v>
      </c>
      <c r="G21" s="404">
        <v>4.875</v>
      </c>
      <c r="H21" s="493">
        <f t="shared" si="0"/>
        <v>634818.06999999995</v>
      </c>
      <c r="I21" s="496"/>
      <c r="J21" s="497"/>
      <c r="K21" s="497"/>
      <c r="L21" s="505" t="s">
        <v>375</v>
      </c>
      <c r="M21" s="365"/>
      <c r="N21" s="365"/>
      <c r="S21" s="374"/>
      <c r="T21" s="374"/>
      <c r="U21" s="374"/>
      <c r="V21" s="374"/>
      <c r="W21" s="374"/>
    </row>
    <row r="22" spans="1:23" s="370" customFormat="1" x14ac:dyDescent="0.25">
      <c r="A22" s="365"/>
      <c r="B22" s="511" t="s">
        <v>406</v>
      </c>
      <c r="C22" s="400">
        <v>42277</v>
      </c>
      <c r="D22" s="406">
        <v>45197</v>
      </c>
      <c r="E22" s="410" t="s">
        <v>383</v>
      </c>
      <c r="F22" s="411">
        <v>19695245.920000002</v>
      </c>
      <c r="G22" s="404">
        <v>4.9000000000000004</v>
      </c>
      <c r="H22" s="493">
        <f t="shared" si="0"/>
        <v>965067.05</v>
      </c>
      <c r="I22" s="496"/>
      <c r="J22" s="497"/>
      <c r="K22" s="497"/>
      <c r="L22" s="505" t="s">
        <v>375</v>
      </c>
      <c r="M22" s="365"/>
      <c r="N22" s="365"/>
      <c r="S22" s="374"/>
      <c r="T22" s="374"/>
      <c r="U22" s="374"/>
      <c r="V22" s="374"/>
      <c r="W22" s="374"/>
    </row>
    <row r="23" spans="1:23" s="514" customFormat="1" x14ac:dyDescent="0.25">
      <c r="A23" s="512"/>
      <c r="B23" s="511" t="s">
        <v>407</v>
      </c>
      <c r="C23" s="400">
        <v>43815</v>
      </c>
      <c r="D23" s="406">
        <v>45275</v>
      </c>
      <c r="E23" s="410" t="s">
        <v>408</v>
      </c>
      <c r="F23" s="411">
        <v>25000000</v>
      </c>
      <c r="G23" s="404">
        <v>3.75</v>
      </c>
      <c r="H23" s="493">
        <f t="shared" si="0"/>
        <v>937500</v>
      </c>
      <c r="I23" s="496"/>
      <c r="J23" s="497"/>
      <c r="K23" s="497"/>
      <c r="L23" s="513" t="s">
        <v>375</v>
      </c>
      <c r="M23" s="512" t="s">
        <v>409</v>
      </c>
      <c r="N23" s="512"/>
      <c r="S23" s="515"/>
      <c r="T23" s="515"/>
      <c r="U23" s="515"/>
      <c r="V23" s="515"/>
      <c r="W23" s="515"/>
    </row>
    <row r="24" spans="1:23" s="365" customFormat="1" x14ac:dyDescent="0.25">
      <c r="B24" s="511" t="s">
        <v>410</v>
      </c>
      <c r="C24" s="400">
        <v>43546</v>
      </c>
      <c r="D24" s="400">
        <v>45373</v>
      </c>
      <c r="E24" s="516" t="s">
        <v>376</v>
      </c>
      <c r="F24" s="411">
        <v>15771394.189999999</v>
      </c>
      <c r="G24" s="404">
        <v>4.875</v>
      </c>
      <c r="H24" s="493">
        <f t="shared" si="0"/>
        <v>768855.47</v>
      </c>
      <c r="I24" s="496"/>
      <c r="J24" s="497"/>
      <c r="K24" s="497"/>
      <c r="L24" s="517" t="s">
        <v>375</v>
      </c>
      <c r="M24" s="518" t="s">
        <v>411</v>
      </c>
      <c r="S24" s="353"/>
      <c r="T24" s="353"/>
      <c r="U24" s="353"/>
      <c r="V24" s="353"/>
      <c r="W24" s="353"/>
    </row>
    <row r="25" spans="1:23" s="365" customFormat="1" x14ac:dyDescent="0.25">
      <c r="A25" s="519"/>
      <c r="B25" s="511" t="s">
        <v>412</v>
      </c>
      <c r="C25" s="406" t="s">
        <v>413</v>
      </c>
      <c r="D25" s="406" t="s">
        <v>414</v>
      </c>
      <c r="E25" s="410" t="s">
        <v>379</v>
      </c>
      <c r="F25" s="411">
        <v>45341416.159999996</v>
      </c>
      <c r="G25" s="404">
        <v>4.25</v>
      </c>
      <c r="H25" s="493">
        <f t="shared" si="0"/>
        <v>1927010.19</v>
      </c>
      <c r="I25" s="496"/>
      <c r="J25" s="497"/>
      <c r="K25" s="497"/>
      <c r="L25" s="505" t="s">
        <v>375</v>
      </c>
      <c r="N25" s="337"/>
      <c r="S25" s="353"/>
      <c r="T25" s="353"/>
      <c r="U25" s="353"/>
      <c r="V25" s="353"/>
      <c r="W25" s="353"/>
    </row>
    <row r="26" spans="1:23" s="365" customFormat="1" x14ac:dyDescent="0.25">
      <c r="B26" s="511" t="s">
        <v>415</v>
      </c>
      <c r="C26" s="400">
        <v>43318</v>
      </c>
      <c r="D26" s="400">
        <v>45509</v>
      </c>
      <c r="E26" s="410" t="s">
        <v>379</v>
      </c>
      <c r="F26" s="411">
        <v>1500000</v>
      </c>
      <c r="G26" s="404">
        <v>4.875</v>
      </c>
      <c r="H26" s="493">
        <f t="shared" si="0"/>
        <v>73125</v>
      </c>
      <c r="I26" s="496"/>
      <c r="J26" s="497"/>
      <c r="K26" s="497"/>
      <c r="L26" s="505" t="s">
        <v>375</v>
      </c>
      <c r="S26" s="353"/>
      <c r="T26" s="353"/>
      <c r="U26" s="353"/>
      <c r="V26" s="353"/>
      <c r="W26" s="353"/>
    </row>
    <row r="27" spans="1:23" s="520" customFormat="1" x14ac:dyDescent="0.25">
      <c r="B27" s="511" t="s">
        <v>416</v>
      </c>
      <c r="C27" s="400">
        <v>43340</v>
      </c>
      <c r="D27" s="400">
        <v>45530</v>
      </c>
      <c r="E27" s="516" t="s">
        <v>379</v>
      </c>
      <c r="F27" s="521">
        <v>16766916.210000001</v>
      </c>
      <c r="G27" s="412">
        <v>4.875</v>
      </c>
      <c r="H27" s="493">
        <f t="shared" si="0"/>
        <v>817387.17</v>
      </c>
      <c r="I27" s="522"/>
      <c r="J27" s="523"/>
      <c r="K27" s="523"/>
      <c r="L27" s="505" t="s">
        <v>375</v>
      </c>
      <c r="M27" s="365"/>
      <c r="R27" s="524"/>
      <c r="S27" s="524"/>
      <c r="T27" s="524"/>
      <c r="U27" s="524"/>
      <c r="V27" s="524"/>
    </row>
    <row r="28" spans="1:23" s="370" customFormat="1" x14ac:dyDescent="0.25">
      <c r="A28" s="365"/>
      <c r="B28" s="511" t="s">
        <v>417</v>
      </c>
      <c r="C28" s="400">
        <v>43017</v>
      </c>
      <c r="D28" s="406">
        <v>45574</v>
      </c>
      <c r="E28" s="410" t="s">
        <v>381</v>
      </c>
      <c r="F28" s="411">
        <v>4861764.57</v>
      </c>
      <c r="G28" s="404">
        <v>4.5</v>
      </c>
      <c r="H28" s="493">
        <f t="shared" si="0"/>
        <v>218779.41</v>
      </c>
      <c r="I28" s="496"/>
      <c r="J28" s="497"/>
      <c r="K28" s="497"/>
      <c r="L28" s="505" t="s">
        <v>375</v>
      </c>
      <c r="M28" s="365"/>
      <c r="N28" s="365"/>
      <c r="S28" s="374"/>
      <c r="T28" s="374"/>
      <c r="U28" s="374"/>
      <c r="V28" s="374"/>
      <c r="W28" s="374"/>
    </row>
    <row r="29" spans="1:23" s="514" customFormat="1" x14ac:dyDescent="0.25">
      <c r="A29" s="512"/>
      <c r="B29" s="511" t="s">
        <v>418</v>
      </c>
      <c r="C29" s="400">
        <v>43815</v>
      </c>
      <c r="D29" s="406">
        <v>45642</v>
      </c>
      <c r="E29" s="410" t="s">
        <v>376</v>
      </c>
      <c r="F29" s="411">
        <v>2855756.38</v>
      </c>
      <c r="G29" s="404">
        <v>4</v>
      </c>
      <c r="H29" s="493">
        <f t="shared" si="0"/>
        <v>114230.26</v>
      </c>
      <c r="I29" s="496"/>
      <c r="J29" s="497"/>
      <c r="K29" s="497"/>
      <c r="L29" s="513" t="s">
        <v>375</v>
      </c>
      <c r="M29" s="512" t="s">
        <v>409</v>
      </c>
      <c r="N29" s="512"/>
      <c r="S29" s="515"/>
      <c r="T29" s="515"/>
      <c r="U29" s="515"/>
      <c r="V29" s="515"/>
      <c r="W29" s="515"/>
    </row>
    <row r="30" spans="1:23" s="370" customFormat="1" x14ac:dyDescent="0.25">
      <c r="A30" s="365"/>
      <c r="B30" s="511" t="s">
        <v>419</v>
      </c>
      <c r="C30" s="400">
        <v>43511</v>
      </c>
      <c r="D30" s="406">
        <v>45702</v>
      </c>
      <c r="E30" s="410" t="s">
        <v>379</v>
      </c>
      <c r="F30" s="411">
        <v>37459445.329999998</v>
      </c>
      <c r="G30" s="404">
        <v>5</v>
      </c>
      <c r="H30" s="493">
        <f t="shared" si="0"/>
        <v>1872972.27</v>
      </c>
      <c r="I30" s="496"/>
      <c r="J30" s="497"/>
      <c r="K30" s="497"/>
      <c r="L30" s="505" t="s">
        <v>375</v>
      </c>
      <c r="M30" s="365" t="s">
        <v>420</v>
      </c>
      <c r="N30" s="365"/>
      <c r="S30" s="374"/>
      <c r="T30" s="374"/>
      <c r="U30" s="374"/>
      <c r="V30" s="374"/>
      <c r="W30" s="374"/>
    </row>
    <row r="31" spans="1:23" s="370" customFormat="1" x14ac:dyDescent="0.25">
      <c r="A31" s="365"/>
      <c r="B31" s="511" t="s">
        <v>421</v>
      </c>
      <c r="C31" s="400">
        <v>43403</v>
      </c>
      <c r="D31" s="406">
        <v>45960</v>
      </c>
      <c r="E31" s="410" t="s">
        <v>381</v>
      </c>
      <c r="F31" s="411">
        <v>11728550.33</v>
      </c>
      <c r="G31" s="404">
        <v>5</v>
      </c>
      <c r="H31" s="493">
        <f t="shared" si="0"/>
        <v>586427.52</v>
      </c>
      <c r="I31" s="496"/>
      <c r="J31" s="497"/>
      <c r="K31" s="497"/>
      <c r="L31" s="505" t="s">
        <v>375</v>
      </c>
      <c r="M31" s="365"/>
      <c r="N31" s="365"/>
      <c r="S31" s="374"/>
      <c r="T31" s="374"/>
      <c r="U31" s="374"/>
      <c r="V31" s="374"/>
      <c r="W31" s="374"/>
    </row>
    <row r="32" spans="1:23" s="365" customFormat="1" x14ac:dyDescent="0.25">
      <c r="B32" s="508" t="s">
        <v>422</v>
      </c>
      <c r="C32" s="509"/>
      <c r="D32" s="509"/>
      <c r="E32" s="509"/>
      <c r="F32" s="486">
        <f>SUM(F33:F34)</f>
        <v>31995800.649999999</v>
      </c>
      <c r="G32" s="367"/>
      <c r="H32" s="493">
        <f>SUM(H18:H31)</f>
        <v>11869525.470000001</v>
      </c>
      <c r="I32" s="525">
        <f>H32/F17</f>
        <v>4.65E-2</v>
      </c>
      <c r="J32" s="368">
        <f>F32+F35+F37</f>
        <v>81274207.640000001</v>
      </c>
      <c r="K32" s="368"/>
      <c r="S32" s="353"/>
      <c r="T32" s="353"/>
      <c r="U32" s="353"/>
      <c r="V32" s="353"/>
      <c r="W32" s="353"/>
    </row>
    <row r="33" spans="1:23" s="365" customFormat="1" x14ac:dyDescent="0.25">
      <c r="B33" s="414">
        <v>258903476</v>
      </c>
      <c r="C33" s="401">
        <v>42193</v>
      </c>
      <c r="D33" s="407">
        <v>44750</v>
      </c>
      <c r="E33" s="402" t="s">
        <v>381</v>
      </c>
      <c r="F33" s="403">
        <v>11995800.65</v>
      </c>
      <c r="G33" s="404">
        <v>5.65</v>
      </c>
      <c r="H33" s="493">
        <f t="shared" si="0"/>
        <v>677762.74</v>
      </c>
      <c r="I33" s="496"/>
      <c r="J33" s="497">
        <f>H35+H36+H38</f>
        <v>4338796.72</v>
      </c>
      <c r="K33" s="497"/>
      <c r="L33" s="505" t="s">
        <v>375</v>
      </c>
      <c r="S33" s="353"/>
      <c r="T33" s="353"/>
      <c r="U33" s="353"/>
      <c r="V33" s="353"/>
      <c r="W33" s="353"/>
    </row>
    <row r="34" spans="1:23" s="365" customFormat="1" x14ac:dyDescent="0.25">
      <c r="B34" s="414">
        <v>258903543</v>
      </c>
      <c r="C34" s="401">
        <v>42278</v>
      </c>
      <c r="D34" s="407">
        <v>44837</v>
      </c>
      <c r="E34" s="402" t="s">
        <v>381</v>
      </c>
      <c r="F34" s="403">
        <v>20000000</v>
      </c>
      <c r="G34" s="404">
        <v>5.5</v>
      </c>
      <c r="H34" s="493">
        <f t="shared" si="0"/>
        <v>1100000</v>
      </c>
      <c r="I34" s="496"/>
      <c r="J34" s="526">
        <f>J33/J32</f>
        <v>5.3385000000000002E-2</v>
      </c>
      <c r="K34" s="526"/>
      <c r="L34" s="505" t="s">
        <v>375</v>
      </c>
      <c r="S34" s="353"/>
      <c r="T34" s="353"/>
      <c r="U34" s="353"/>
      <c r="V34" s="353"/>
      <c r="W34" s="353"/>
    </row>
    <row r="35" spans="1:23" s="365" customFormat="1" x14ac:dyDescent="0.25">
      <c r="B35" s="527" t="s">
        <v>423</v>
      </c>
      <c r="C35" s="528"/>
      <c r="D35" s="528"/>
      <c r="E35" s="528"/>
      <c r="F35" s="373">
        <f>SUM(F36:F36)</f>
        <v>24278406.989999998</v>
      </c>
      <c r="G35" s="367"/>
      <c r="H35" s="493">
        <f>SUM(H33:H34)</f>
        <v>1777762.74</v>
      </c>
      <c r="I35" s="525">
        <f>H35/F32</f>
        <v>5.5599999999999997E-2</v>
      </c>
      <c r="J35" s="368"/>
      <c r="K35" s="368"/>
      <c r="S35" s="353"/>
      <c r="T35" s="353"/>
      <c r="U35" s="353"/>
      <c r="V35" s="353"/>
      <c r="W35" s="353"/>
    </row>
    <row r="36" spans="1:23" s="365" customFormat="1" x14ac:dyDescent="0.25">
      <c r="A36" s="519"/>
      <c r="B36" s="414">
        <v>50401687976</v>
      </c>
      <c r="C36" s="401">
        <v>42333</v>
      </c>
      <c r="D36" s="407">
        <v>45253</v>
      </c>
      <c r="E36" s="402" t="s">
        <v>383</v>
      </c>
      <c r="F36" s="403">
        <v>24278406.989999998</v>
      </c>
      <c r="G36" s="404">
        <v>5.4</v>
      </c>
      <c r="H36" s="493">
        <f t="shared" si="0"/>
        <v>1311033.98</v>
      </c>
      <c r="I36" s="496">
        <v>5.3999999999999999E-2</v>
      </c>
      <c r="J36" s="497"/>
      <c r="K36" s="497"/>
      <c r="L36" s="505" t="s">
        <v>375</v>
      </c>
      <c r="S36" s="353"/>
      <c r="T36" s="353"/>
      <c r="U36" s="353"/>
      <c r="V36" s="353"/>
      <c r="W36" s="353"/>
    </row>
    <row r="37" spans="1:23" s="365" customFormat="1" x14ac:dyDescent="0.25">
      <c r="B37" s="527" t="s">
        <v>424</v>
      </c>
      <c r="C37" s="528"/>
      <c r="D37" s="528"/>
      <c r="E37" s="528"/>
      <c r="F37" s="373">
        <f>SUM(F38:F38)</f>
        <v>25000000</v>
      </c>
      <c r="G37" s="369"/>
      <c r="H37" s="493"/>
      <c r="I37" s="525"/>
      <c r="J37" s="368"/>
      <c r="K37" s="368"/>
      <c r="S37" s="353"/>
      <c r="T37" s="353"/>
      <c r="U37" s="353"/>
      <c r="V37" s="353"/>
      <c r="W37" s="353"/>
    </row>
    <row r="38" spans="1:23" s="365" customFormat="1" x14ac:dyDescent="0.25">
      <c r="B38" s="414">
        <v>202121699</v>
      </c>
      <c r="C38" s="401">
        <v>42356</v>
      </c>
      <c r="D38" s="407">
        <v>45278</v>
      </c>
      <c r="E38" s="402" t="s">
        <v>376</v>
      </c>
      <c r="F38" s="403">
        <v>25000000</v>
      </c>
      <c r="G38" s="404">
        <v>5</v>
      </c>
      <c r="H38" s="493">
        <f t="shared" si="0"/>
        <v>1250000</v>
      </c>
      <c r="I38" s="496">
        <v>0.05</v>
      </c>
      <c r="J38" s="497"/>
      <c r="K38" s="497"/>
      <c r="L38" s="505" t="s">
        <v>375</v>
      </c>
      <c r="S38" s="353"/>
      <c r="T38" s="353"/>
      <c r="U38" s="353"/>
      <c r="V38" s="353"/>
      <c r="W38" s="353"/>
    </row>
    <row r="39" spans="1:23" s="365" customFormat="1" x14ac:dyDescent="0.25">
      <c r="B39" s="529"/>
      <c r="C39"/>
      <c r="D39"/>
      <c r="E39"/>
      <c r="F39"/>
      <c r="G39" s="530"/>
      <c r="H39" s="3"/>
      <c r="I39" s="531"/>
      <c r="J39" s="3"/>
      <c r="K39" s="3"/>
      <c r="L39"/>
      <c r="S39" s="353"/>
      <c r="T39" s="353"/>
      <c r="U39" s="353"/>
      <c r="V39" s="353"/>
      <c r="W39" s="353"/>
    </row>
    <row r="40" spans="1:23" s="365" customFormat="1" x14ac:dyDescent="0.25">
      <c r="B40" s="529"/>
      <c r="C40"/>
      <c r="D40"/>
      <c r="E40"/>
      <c r="F40"/>
      <c r="G40" s="532"/>
      <c r="H40" s="3"/>
      <c r="I40" s="531"/>
      <c r="J40" s="3"/>
      <c r="K40" s="3"/>
      <c r="L40"/>
      <c r="S40" s="353"/>
      <c r="T40" s="353"/>
      <c r="U40" s="353"/>
      <c r="V40" s="353"/>
      <c r="W40" s="353"/>
    </row>
    <row r="41" spans="1:23" s="365" customFormat="1" x14ac:dyDescent="0.25">
      <c r="B41" s="533"/>
      <c r="C41" s="528"/>
      <c r="D41" s="534"/>
      <c r="E41" s="534"/>
      <c r="F41" s="535"/>
      <c r="G41" s="367"/>
      <c r="H41" s="368"/>
      <c r="I41" s="525"/>
      <c r="J41" s="368"/>
      <c r="K41" s="368"/>
      <c r="S41" s="353"/>
      <c r="T41" s="353"/>
      <c r="U41" s="353"/>
      <c r="V41" s="353"/>
      <c r="W41" s="353"/>
    </row>
    <row r="42" spans="1:23" x14ac:dyDescent="0.35">
      <c r="B42" s="437" t="str">
        <f>[9]SEGUROS!$B$51</f>
        <v xml:space="preserve">FUENTE: DEPTO DE TESORERIA - DNF </v>
      </c>
      <c r="C42" s="438"/>
      <c r="D42" s="438"/>
      <c r="E42" s="438"/>
      <c r="F42" s="438"/>
      <c r="G42" s="536">
        <f>F32+F35+F37</f>
        <v>81274208</v>
      </c>
      <c r="H42" s="537"/>
      <c r="I42" s="538"/>
      <c r="J42" s="537"/>
      <c r="K42" s="537"/>
      <c r="L42" s="442"/>
      <c r="M42" s="442"/>
      <c r="N42" s="442"/>
    </row>
    <row r="43" spans="1:23" x14ac:dyDescent="0.35">
      <c r="B43" s="443">
        <f>'[9]VENC. '!$B$167</f>
        <v>44778</v>
      </c>
      <c r="C43" s="444"/>
      <c r="D43" s="444"/>
      <c r="E43" s="444"/>
      <c r="F43" s="444"/>
      <c r="G43" s="539"/>
      <c r="H43" s="540"/>
      <c r="I43" s="541"/>
      <c r="J43" s="540"/>
      <c r="K43" s="540"/>
    </row>
    <row r="44" spans="1:23" x14ac:dyDescent="0.35">
      <c r="B44" s="443"/>
      <c r="C44" s="444"/>
      <c r="D44" s="444"/>
      <c r="E44" s="444"/>
      <c r="F44" s="444"/>
      <c r="G44" s="539"/>
      <c r="H44" s="540"/>
      <c r="I44" s="541"/>
      <c r="J44" s="540"/>
      <c r="K44" s="540"/>
    </row>
    <row r="45" spans="1:23" x14ac:dyDescent="0.35">
      <c r="B45" s="448" t="str">
        <f>'[9]VENC. '!B$168</f>
        <v>Preparado por:    _______________________________________</v>
      </c>
      <c r="C45" s="449"/>
      <c r="D45" s="1644" t="str">
        <f>'[9]VENC. '!D$168</f>
        <v>Revisado por:      ___________________________________</v>
      </c>
      <c r="E45" s="1644"/>
      <c r="F45" s="1644"/>
      <c r="G45" s="1645"/>
      <c r="H45" s="435"/>
      <c r="I45" s="542"/>
      <c r="J45" s="435"/>
      <c r="K45" s="435"/>
    </row>
    <row r="46" spans="1:23" x14ac:dyDescent="0.35">
      <c r="B46" s="1684" t="str">
        <f>'[9]VENC. '!B$169</f>
        <v>CARLOS MIRANDA</v>
      </c>
      <c r="C46" s="1644"/>
      <c r="D46" s="1644" t="str">
        <f>'[9]VENC. '!D$169</f>
        <v>JULIO PEREZ</v>
      </c>
      <c r="E46" s="1644"/>
      <c r="F46" s="1644"/>
      <c r="G46" s="1645"/>
      <c r="H46" s="435"/>
      <c r="I46" s="542"/>
      <c r="J46" s="435"/>
      <c r="K46" s="435"/>
    </row>
    <row r="47" spans="1:23" x14ac:dyDescent="0.35">
      <c r="B47" s="1675" t="str">
        <f>'[9]VENC. '!B$170</f>
        <v>Analista Financiero II</v>
      </c>
      <c r="C47" s="1676"/>
      <c r="D47" s="1676" t="str">
        <f>'[9]VENC. '!D$170</f>
        <v>Jefe Encargado de la Sección de Análisis y Programación Financiera</v>
      </c>
      <c r="E47" s="1676"/>
      <c r="F47" s="1676"/>
      <c r="G47" s="1677"/>
      <c r="H47" s="435"/>
      <c r="I47" s="542"/>
      <c r="J47" s="435"/>
      <c r="K47" s="435"/>
    </row>
  </sheetData>
  <mergeCells count="20">
    <mergeCell ref="N7:S8"/>
    <mergeCell ref="B10:E10"/>
    <mergeCell ref="D45:G45"/>
    <mergeCell ref="B46:C46"/>
    <mergeCell ref="D46:G46"/>
    <mergeCell ref="L7:L9"/>
    <mergeCell ref="B47:C47"/>
    <mergeCell ref="D47:G47"/>
    <mergeCell ref="B7:B9"/>
    <mergeCell ref="C7:D8"/>
    <mergeCell ref="E7:E9"/>
    <mergeCell ref="F7:F8"/>
    <mergeCell ref="G7:G9"/>
    <mergeCell ref="O1:S1"/>
    <mergeCell ref="B3:G3"/>
    <mergeCell ref="N3:S3"/>
    <mergeCell ref="B4:G4"/>
    <mergeCell ref="N4:N6"/>
    <mergeCell ref="B5:G5"/>
    <mergeCell ref="B6:G6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U28"/>
  <sheetViews>
    <sheetView workbookViewId="0">
      <selection activeCell="F12" sqref="F12:F17"/>
    </sheetView>
  </sheetViews>
  <sheetFormatPr baseColWidth="10" defaultColWidth="21.1796875" defaultRowHeight="15.5" x14ac:dyDescent="0.35"/>
  <cols>
    <col min="1" max="1" width="8.54296875" style="355" customWidth="1"/>
    <col min="2" max="2" width="25" style="456" customWidth="1"/>
    <col min="3" max="3" width="16.54296875" style="456" customWidth="1"/>
    <col min="4" max="4" width="19.1796875" style="456" customWidth="1"/>
    <col min="5" max="5" width="12.26953125" style="456" customWidth="1"/>
    <col min="6" max="6" width="26.81640625" style="456" customWidth="1"/>
    <col min="7" max="9" width="23" style="457" customWidth="1"/>
    <col min="10" max="10" width="26.81640625" style="358" customWidth="1"/>
    <col min="11" max="11" width="15.81640625" style="358" customWidth="1"/>
    <col min="12" max="12" width="21.1796875" style="358"/>
    <col min="13" max="16" width="21.1796875" style="355"/>
    <col min="17" max="21" width="21.1796875" style="359"/>
    <col min="22" max="16384" width="21.1796875" style="355"/>
  </cols>
  <sheetData>
    <row r="1" spans="1:21" s="331" customFormat="1" x14ac:dyDescent="0.25">
      <c r="B1" s="546"/>
      <c r="C1" s="547"/>
      <c r="D1" s="547"/>
      <c r="E1" s="547"/>
      <c r="F1" s="547"/>
      <c r="G1" s="334" t="s">
        <v>425</v>
      </c>
      <c r="H1" s="336"/>
      <c r="I1" s="336"/>
      <c r="J1" s="337"/>
      <c r="K1" s="337"/>
      <c r="L1" s="338"/>
      <c r="M1" s="1654"/>
      <c r="N1" s="1654"/>
      <c r="O1" s="1654"/>
      <c r="P1" s="1654"/>
      <c r="Q1" s="1654"/>
      <c r="R1" s="340"/>
      <c r="S1" s="340"/>
      <c r="T1" s="340"/>
      <c r="U1" s="340"/>
    </row>
    <row r="2" spans="1:21" s="341" customFormat="1" x14ac:dyDescent="0.25">
      <c r="B2" s="1655" t="s">
        <v>0</v>
      </c>
      <c r="C2" s="1656"/>
      <c r="D2" s="1656"/>
      <c r="E2" s="1656"/>
      <c r="F2" s="1656"/>
      <c r="G2" s="1657"/>
      <c r="H2" s="344"/>
      <c r="I2" s="344"/>
      <c r="J2" s="345"/>
      <c r="K2" s="345"/>
      <c r="L2" s="1658"/>
      <c r="M2" s="1658"/>
      <c r="N2" s="1658"/>
      <c r="O2" s="1658"/>
      <c r="P2" s="1658"/>
      <c r="Q2" s="1658"/>
      <c r="R2" s="346"/>
      <c r="S2" s="346"/>
      <c r="T2" s="346"/>
      <c r="U2" s="346"/>
    </row>
    <row r="3" spans="1:21" s="352" customFormat="1" x14ac:dyDescent="0.25">
      <c r="A3" s="347"/>
      <c r="B3" s="1659" t="s">
        <v>426</v>
      </c>
      <c r="C3" s="1660"/>
      <c r="D3" s="1660"/>
      <c r="E3" s="1660"/>
      <c r="F3" s="1660"/>
      <c r="G3" s="1661"/>
      <c r="H3" s="349"/>
      <c r="I3" s="349"/>
      <c r="J3" s="350"/>
      <c r="K3" s="350"/>
      <c r="L3" s="1662"/>
      <c r="M3" s="351"/>
      <c r="N3" s="351"/>
      <c r="O3" s="351"/>
      <c r="P3" s="351"/>
      <c r="Q3" s="351"/>
      <c r="R3" s="346"/>
      <c r="S3" s="346"/>
      <c r="T3" s="346"/>
      <c r="U3" s="347"/>
    </row>
    <row r="4" spans="1:21" s="352" customFormat="1" x14ac:dyDescent="0.25">
      <c r="A4" s="347"/>
      <c r="B4" s="1659" t="s">
        <v>427</v>
      </c>
      <c r="C4" s="1660"/>
      <c r="D4" s="1660"/>
      <c r="E4" s="1660"/>
      <c r="F4" s="1660"/>
      <c r="G4" s="1661"/>
      <c r="H4" s="349"/>
      <c r="I4" s="349"/>
      <c r="J4" s="350"/>
      <c r="K4" s="350"/>
      <c r="L4" s="1662"/>
      <c r="M4" s="351"/>
      <c r="N4" s="351"/>
      <c r="O4" s="351"/>
      <c r="P4" s="351"/>
      <c r="Q4" s="351"/>
      <c r="R4" s="346"/>
      <c r="S4" s="346"/>
      <c r="T4" s="346"/>
      <c r="U4" s="347"/>
    </row>
    <row r="5" spans="1:21" s="341" customFormat="1" x14ac:dyDescent="0.25">
      <c r="B5" s="1663" t="str">
        <f>'[9]VENC. '!$B$4</f>
        <v>AL 30 DE JUNIO 2022</v>
      </c>
      <c r="C5" s="1664"/>
      <c r="D5" s="1664"/>
      <c r="E5" s="1664"/>
      <c r="F5" s="1664"/>
      <c r="G5" s="1665"/>
      <c r="H5" s="344"/>
      <c r="I5" s="344"/>
      <c r="J5" s="350"/>
      <c r="K5" s="350"/>
      <c r="L5" s="1662"/>
      <c r="M5" s="353"/>
      <c r="N5" s="353"/>
      <c r="O5" s="345"/>
      <c r="P5" s="345"/>
      <c r="Q5" s="354"/>
      <c r="R5" s="346"/>
      <c r="S5" s="346"/>
      <c r="T5" s="346"/>
      <c r="U5" s="346"/>
    </row>
    <row r="6" spans="1:21" x14ac:dyDescent="0.35">
      <c r="B6" s="1649" t="s">
        <v>362</v>
      </c>
      <c r="C6" s="1651" t="s">
        <v>363</v>
      </c>
      <c r="D6" s="1652"/>
      <c r="E6" s="1649" t="s">
        <v>364</v>
      </c>
      <c r="F6" s="1649" t="s">
        <v>365</v>
      </c>
      <c r="G6" s="1649" t="s">
        <v>366</v>
      </c>
      <c r="H6" s="357"/>
      <c r="I6" s="357"/>
      <c r="J6" s="1653" t="s">
        <v>367</v>
      </c>
      <c r="L6" s="1640"/>
      <c r="M6" s="1640"/>
      <c r="N6" s="1640"/>
      <c r="O6" s="1640"/>
      <c r="P6" s="1640"/>
      <c r="Q6" s="1640"/>
    </row>
    <row r="7" spans="1:21" x14ac:dyDescent="0.35">
      <c r="B7" s="1649"/>
      <c r="C7" s="1651"/>
      <c r="D7" s="1652"/>
      <c r="E7" s="1649"/>
      <c r="F7" s="1649"/>
      <c r="G7" s="1649"/>
      <c r="H7" s="357"/>
      <c r="I7" s="357"/>
      <c r="J7" s="1649"/>
      <c r="L7" s="1640"/>
      <c r="M7" s="1640"/>
      <c r="N7" s="1640"/>
      <c r="O7" s="1640"/>
      <c r="P7" s="1640"/>
      <c r="Q7" s="1640"/>
    </row>
    <row r="8" spans="1:21" x14ac:dyDescent="0.35">
      <c r="B8" s="1650"/>
      <c r="C8" s="360" t="s">
        <v>368</v>
      </c>
      <c r="D8" s="361" t="s">
        <v>369</v>
      </c>
      <c r="E8" s="1650"/>
      <c r="F8" s="362" t="s">
        <v>370</v>
      </c>
      <c r="G8" s="1650"/>
      <c r="H8" s="364"/>
      <c r="I8" s="364"/>
      <c r="J8" s="1650"/>
      <c r="K8" s="353"/>
      <c r="L8" s="354">
        <f>'[9]VENC. '!$G$6</f>
        <v>5590.01</v>
      </c>
      <c r="M8" s="338"/>
      <c r="N8" s="338"/>
      <c r="O8" s="338"/>
      <c r="P8" s="338"/>
      <c r="Q8" s="338"/>
      <c r="R8" s="340"/>
    </row>
    <row r="9" spans="1:21" s="370" customFormat="1" x14ac:dyDescent="0.25">
      <c r="B9" s="548"/>
      <c r="C9" s="372"/>
      <c r="D9" s="372"/>
      <c r="E9" s="372"/>
      <c r="F9" s="373"/>
      <c r="G9" s="342"/>
      <c r="H9" s="344"/>
      <c r="I9" s="344"/>
      <c r="J9" s="353"/>
      <c r="K9" s="353"/>
      <c r="L9" s="549"/>
      <c r="M9" s="550"/>
      <c r="N9" s="550"/>
      <c r="O9" s="550"/>
      <c r="P9" s="550"/>
      <c r="Q9" s="550"/>
      <c r="R9" s="374"/>
      <c r="S9" s="374"/>
      <c r="T9" s="374"/>
      <c r="U9" s="374"/>
    </row>
    <row r="10" spans="1:21" s="365" customFormat="1" x14ac:dyDescent="0.25">
      <c r="B10" s="1641" t="s">
        <v>428</v>
      </c>
      <c r="C10" s="1642"/>
      <c r="D10" s="1642"/>
      <c r="E10" s="1642"/>
      <c r="F10" s="366">
        <f>SUM(F11)</f>
        <v>1099392135.8900001</v>
      </c>
      <c r="G10" s="367"/>
      <c r="H10" s="369"/>
      <c r="I10" s="369"/>
      <c r="Q10" s="353"/>
      <c r="R10" s="353"/>
      <c r="S10" s="353"/>
      <c r="T10" s="353"/>
      <c r="U10" s="353"/>
    </row>
    <row r="11" spans="1:21" s="365" customFormat="1" x14ac:dyDescent="0.25">
      <c r="B11" s="551" t="s">
        <v>372</v>
      </c>
      <c r="C11" s="453"/>
      <c r="D11" s="344"/>
      <c r="E11" s="344"/>
      <c r="F11" s="373">
        <f>SUM(F12:F17)</f>
        <v>1099392135.8900001</v>
      </c>
      <c r="G11" s="367"/>
      <c r="H11" s="369"/>
      <c r="I11" s="369"/>
      <c r="J11" s="552"/>
      <c r="K11" s="552"/>
      <c r="Q11" s="353"/>
      <c r="R11" s="353"/>
      <c r="S11" s="353"/>
      <c r="T11" s="353"/>
      <c r="U11" s="353"/>
    </row>
    <row r="12" spans="1:21" s="365" customFormat="1" x14ac:dyDescent="0.25">
      <c r="B12" s="553">
        <v>110000081884</v>
      </c>
      <c r="C12" s="554">
        <v>44741</v>
      </c>
      <c r="D12" s="555" t="s">
        <v>373</v>
      </c>
      <c r="E12" s="554" t="s">
        <v>374</v>
      </c>
      <c r="F12" s="556">
        <v>25222.92</v>
      </c>
      <c r="G12" s="557">
        <v>0.75</v>
      </c>
      <c r="H12" s="557"/>
      <c r="I12" s="557"/>
      <c r="J12" s="558" t="s">
        <v>429</v>
      </c>
      <c r="K12" s="552"/>
      <c r="Q12" s="353"/>
      <c r="R12" s="353"/>
      <c r="S12" s="353"/>
      <c r="T12" s="353"/>
      <c r="U12" s="353"/>
    </row>
    <row r="13" spans="1:21" s="365" customFormat="1" x14ac:dyDescent="0.25">
      <c r="B13" s="559">
        <v>110000081893</v>
      </c>
      <c r="C13" s="554">
        <v>44741</v>
      </c>
      <c r="D13" s="555" t="s">
        <v>373</v>
      </c>
      <c r="E13" s="554" t="s">
        <v>374</v>
      </c>
      <c r="F13" s="560">
        <v>12500000</v>
      </c>
      <c r="G13" s="561">
        <v>0.75</v>
      </c>
      <c r="H13" s="561"/>
      <c r="I13" s="561"/>
      <c r="J13" s="558" t="s">
        <v>429</v>
      </c>
      <c r="K13" s="552"/>
      <c r="Q13" s="353"/>
      <c r="R13" s="353"/>
      <c r="S13" s="353"/>
      <c r="T13" s="353"/>
      <c r="U13" s="353"/>
    </row>
    <row r="14" spans="1:21" s="365" customFormat="1" x14ac:dyDescent="0.25">
      <c r="B14" s="562">
        <v>110000081900</v>
      </c>
      <c r="C14" s="554">
        <v>44741</v>
      </c>
      <c r="D14" s="555" t="s">
        <v>373</v>
      </c>
      <c r="E14" s="554" t="s">
        <v>374</v>
      </c>
      <c r="F14" s="563">
        <v>11387255.130000001</v>
      </c>
      <c r="G14" s="564">
        <v>0.75</v>
      </c>
      <c r="H14" s="564"/>
      <c r="I14" s="564"/>
      <c r="J14" s="558" t="s">
        <v>429</v>
      </c>
      <c r="K14" s="552"/>
      <c r="Q14" s="353"/>
      <c r="R14" s="353"/>
      <c r="S14" s="353"/>
      <c r="T14" s="353"/>
      <c r="U14" s="353"/>
    </row>
    <row r="15" spans="1:21" s="365" customFormat="1" x14ac:dyDescent="0.25">
      <c r="B15" s="565">
        <v>110000081919</v>
      </c>
      <c r="C15" s="554">
        <v>44741</v>
      </c>
      <c r="D15" s="555" t="s">
        <v>373</v>
      </c>
      <c r="E15" s="554" t="s">
        <v>374</v>
      </c>
      <c r="F15" s="563">
        <v>178631305.25999999</v>
      </c>
      <c r="G15" s="561">
        <v>0.75</v>
      </c>
      <c r="H15" s="561"/>
      <c r="I15" s="561"/>
      <c r="J15" s="558" t="s">
        <v>429</v>
      </c>
      <c r="K15" s="552"/>
      <c r="Q15" s="353"/>
      <c r="R15" s="353"/>
      <c r="S15" s="353"/>
      <c r="T15" s="353"/>
      <c r="U15" s="353"/>
    </row>
    <row r="16" spans="1:21" s="365" customFormat="1" x14ac:dyDescent="0.25">
      <c r="B16" s="562">
        <v>110000081928</v>
      </c>
      <c r="C16" s="554">
        <v>44741</v>
      </c>
      <c r="D16" s="555" t="s">
        <v>373</v>
      </c>
      <c r="E16" s="554" t="s">
        <v>374</v>
      </c>
      <c r="F16" s="566">
        <v>500000000</v>
      </c>
      <c r="G16" s="564">
        <v>0.75</v>
      </c>
      <c r="H16" s="564"/>
      <c r="I16" s="564"/>
      <c r="J16" s="558" t="s">
        <v>429</v>
      </c>
      <c r="K16" s="552"/>
      <c r="Q16" s="353"/>
      <c r="R16" s="353"/>
      <c r="S16" s="353"/>
      <c r="T16" s="353"/>
      <c r="U16" s="353"/>
    </row>
    <row r="17" spans="2:21" s="365" customFormat="1" x14ac:dyDescent="0.25">
      <c r="B17" s="562">
        <v>110000081923</v>
      </c>
      <c r="C17" s="554">
        <v>44741</v>
      </c>
      <c r="D17" s="555" t="s">
        <v>373</v>
      </c>
      <c r="E17" s="554" t="s">
        <v>374</v>
      </c>
      <c r="F17" s="566">
        <v>396848352.57999998</v>
      </c>
      <c r="G17" s="564">
        <v>0.75</v>
      </c>
      <c r="H17" s="564"/>
      <c r="I17" s="564"/>
      <c r="J17" s="558" t="s">
        <v>429</v>
      </c>
      <c r="K17" s="552"/>
      <c r="Q17" s="353"/>
      <c r="R17" s="353"/>
      <c r="S17" s="353"/>
      <c r="T17" s="353"/>
      <c r="U17" s="353"/>
    </row>
    <row r="18" spans="2:21" x14ac:dyDescent="0.35">
      <c r="B18" s="567" t="str">
        <f>[9]SEGUROS!$B$51</f>
        <v xml:space="preserve">FUENTE: DEPTO DE TESORERIA - DNF </v>
      </c>
      <c r="C18" s="568"/>
      <c r="D18" s="568"/>
      <c r="E18" s="568"/>
      <c r="F18" s="568"/>
      <c r="G18" s="569"/>
      <c r="H18" s="568"/>
      <c r="I18" s="568"/>
      <c r="J18" s="442"/>
      <c r="K18" s="442"/>
      <c r="L18" s="442"/>
      <c r="Q18" s="355"/>
      <c r="R18" s="355"/>
      <c r="S18" s="355"/>
      <c r="T18" s="355"/>
      <c r="U18" s="355"/>
    </row>
    <row r="19" spans="2:21" x14ac:dyDescent="0.35">
      <c r="B19" s="570">
        <f>'[9]VENC. '!$B$167</f>
        <v>44778</v>
      </c>
      <c r="C19" s="571"/>
      <c r="D19" s="571"/>
      <c r="E19" s="571"/>
      <c r="F19" s="571"/>
      <c r="G19" s="572"/>
      <c r="H19" s="571"/>
      <c r="I19" s="571"/>
      <c r="Q19" s="355"/>
      <c r="R19" s="355"/>
      <c r="S19" s="355"/>
      <c r="T19" s="355"/>
      <c r="U19" s="355"/>
    </row>
    <row r="20" spans="2:21" x14ac:dyDescent="0.35">
      <c r="B20" s="448" t="str">
        <f>'[9]VENC. '!B$168</f>
        <v>Preparado por:    _______________________________________</v>
      </c>
      <c r="C20" s="449"/>
      <c r="D20" s="1644" t="str">
        <f>'[9]VENC. '!D$168</f>
        <v>Revisado por:      ___________________________________</v>
      </c>
      <c r="E20" s="1644"/>
      <c r="F20" s="1644"/>
      <c r="G20" s="1645"/>
      <c r="H20" s="450"/>
      <c r="I20" s="450"/>
    </row>
    <row r="21" spans="2:21" x14ac:dyDescent="0.35">
      <c r="B21" s="573"/>
      <c r="C21" s="574" t="str">
        <f>'[9]VENC. '!B$169</f>
        <v>CARLOS MIRANDA</v>
      </c>
      <c r="D21" s="575"/>
      <c r="E21" s="1647" t="str">
        <f>'[9]VENC. '!D$169</f>
        <v>JULIO PEREZ</v>
      </c>
      <c r="F21" s="1647"/>
      <c r="G21" s="1648"/>
      <c r="H21" s="452"/>
      <c r="I21" s="452"/>
    </row>
    <row r="22" spans="2:21" x14ac:dyDescent="0.35">
      <c r="B22" s="1637" t="str">
        <f>'[9]VENC. '!$B$170</f>
        <v>Analista Financiero II</v>
      </c>
      <c r="C22" s="1638"/>
      <c r="D22" s="1638"/>
      <c r="E22" s="1638" t="str">
        <f>'[9]VENC. '!$D$170</f>
        <v>Jefe Encargado de la Sección de Análisis y Programación Financiera</v>
      </c>
      <c r="F22" s="1638"/>
      <c r="G22" s="1639"/>
      <c r="H22" s="452"/>
      <c r="I22" s="452"/>
      <c r="Q22" s="355"/>
      <c r="R22" s="355"/>
      <c r="S22" s="355"/>
      <c r="T22" s="355"/>
      <c r="U22" s="355"/>
    </row>
    <row r="23" spans="2:21" hidden="1" x14ac:dyDescent="0.35">
      <c r="B23" s="576"/>
      <c r="C23" s="577"/>
      <c r="D23" s="577"/>
      <c r="E23" s="577"/>
      <c r="F23" s="577"/>
      <c r="G23" s="578"/>
      <c r="H23" s="449"/>
      <c r="I23" s="449"/>
    </row>
    <row r="28" spans="2:21" s="579" customFormat="1" x14ac:dyDescent="0.25">
      <c r="B28" s="399">
        <v>110000065100</v>
      </c>
      <c r="C28" s="400">
        <v>43656</v>
      </c>
      <c r="D28" s="401">
        <v>44386</v>
      </c>
      <c r="E28" s="410" t="s">
        <v>430</v>
      </c>
      <c r="F28" s="411">
        <v>6250000</v>
      </c>
      <c r="G28" s="412">
        <v>2.65</v>
      </c>
      <c r="H28" s="412"/>
      <c r="I28" s="412"/>
      <c r="J28" s="580" t="s">
        <v>375</v>
      </c>
      <c r="K28" s="392" t="s">
        <v>431</v>
      </c>
      <c r="Q28" s="581"/>
      <c r="R28" s="581"/>
      <c r="S28" s="581"/>
      <c r="T28" s="581"/>
      <c r="U28" s="581"/>
    </row>
  </sheetData>
  <mergeCells count="19">
    <mergeCell ref="L6:Q7"/>
    <mergeCell ref="B10:E10"/>
    <mergeCell ref="D20:G20"/>
    <mergeCell ref="E21:G21"/>
    <mergeCell ref="B22:D22"/>
    <mergeCell ref="E22:G22"/>
    <mergeCell ref="B6:B8"/>
    <mergeCell ref="C6:D7"/>
    <mergeCell ref="E6:E8"/>
    <mergeCell ref="F6:F7"/>
    <mergeCell ref="G6:G8"/>
    <mergeCell ref="J6:J8"/>
    <mergeCell ref="M1:Q1"/>
    <mergeCell ref="B2:G2"/>
    <mergeCell ref="L2:Q2"/>
    <mergeCell ref="B3:G3"/>
    <mergeCell ref="L3:L5"/>
    <mergeCell ref="B4:G4"/>
    <mergeCell ref="B5:G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V92"/>
  <sheetViews>
    <sheetView workbookViewId="0">
      <selection activeCell="F40" sqref="F40"/>
    </sheetView>
  </sheetViews>
  <sheetFormatPr baseColWidth="10" defaultColWidth="12.7265625" defaultRowHeight="15.5" x14ac:dyDescent="0.35"/>
  <cols>
    <col min="1" max="1" width="7.7265625" style="355" customWidth="1"/>
    <col min="2" max="2" width="29.54296875" style="456" customWidth="1"/>
    <col min="3" max="4" width="20.54296875" style="456" customWidth="1"/>
    <col min="5" max="5" width="13" style="456" customWidth="1"/>
    <col min="6" max="6" width="21" style="456" customWidth="1"/>
    <col min="7" max="7" width="21" style="457" customWidth="1"/>
    <col min="8" max="9" width="21" style="458" customWidth="1"/>
    <col min="10" max="10" width="25.7265625" style="457" customWidth="1"/>
    <col min="11" max="11" width="30" style="358" customWidth="1"/>
    <col min="12" max="12" width="34.1796875" style="358" customWidth="1"/>
    <col min="13" max="13" width="22.7265625" style="358" customWidth="1"/>
    <col min="14" max="14" width="16" style="355" customWidth="1"/>
    <col min="15" max="17" width="12.7265625" style="355"/>
    <col min="18" max="22" width="12.7265625" style="359"/>
    <col min="23" max="16384" width="12.7265625" style="355"/>
  </cols>
  <sheetData>
    <row r="1" spans="1:22" s="331" customFormat="1" ht="21.75" customHeight="1" x14ac:dyDescent="0.25">
      <c r="B1" s="546"/>
      <c r="C1" s="547"/>
      <c r="D1" s="547"/>
      <c r="E1" s="547"/>
      <c r="F1" s="547"/>
      <c r="G1" s="334" t="s">
        <v>432</v>
      </c>
      <c r="H1" s="335"/>
      <c r="I1" s="335"/>
      <c r="J1" s="336"/>
      <c r="K1" s="337"/>
      <c r="L1" s="337"/>
      <c r="M1" s="338"/>
      <c r="N1" s="1654"/>
      <c r="O1" s="1654"/>
      <c r="P1" s="1654"/>
      <c r="Q1" s="1654"/>
      <c r="R1" s="1654"/>
      <c r="S1" s="340"/>
      <c r="T1" s="340"/>
      <c r="U1" s="340"/>
      <c r="V1" s="340"/>
    </row>
    <row r="2" spans="1:22" s="331" customFormat="1" ht="21.75" customHeight="1" x14ac:dyDescent="0.25">
      <c r="B2" s="1666" t="s">
        <v>0</v>
      </c>
      <c r="C2" s="1667"/>
      <c r="D2" s="1667"/>
      <c r="E2" s="1667"/>
      <c r="F2" s="1667"/>
      <c r="G2" s="1668"/>
      <c r="H2" s="469"/>
      <c r="I2" s="469"/>
      <c r="J2" s="544"/>
      <c r="K2" s="337"/>
      <c r="L2" s="337"/>
      <c r="M2" s="338"/>
      <c r="N2" s="339"/>
      <c r="O2" s="339"/>
      <c r="P2" s="339"/>
      <c r="Q2" s="339"/>
      <c r="R2" s="339"/>
      <c r="S2" s="340"/>
      <c r="T2" s="340"/>
      <c r="U2" s="340"/>
      <c r="V2" s="340"/>
    </row>
    <row r="3" spans="1:22" s="341" customFormat="1" ht="21.75" customHeight="1" x14ac:dyDescent="0.25">
      <c r="B3" s="1669" t="s">
        <v>433</v>
      </c>
      <c r="C3" s="1670"/>
      <c r="D3" s="1670"/>
      <c r="E3" s="1670"/>
      <c r="F3" s="1670"/>
      <c r="G3" s="1671"/>
      <c r="H3" s="471"/>
      <c r="I3" s="471"/>
      <c r="J3" s="545"/>
      <c r="K3" s="345"/>
      <c r="L3" s="345"/>
      <c r="M3" s="1658"/>
      <c r="N3" s="1658"/>
      <c r="O3" s="1658"/>
      <c r="P3" s="1658"/>
      <c r="Q3" s="1658"/>
      <c r="R3" s="1658"/>
      <c r="S3" s="346"/>
      <c r="T3" s="346"/>
      <c r="U3" s="346"/>
      <c r="V3" s="346"/>
    </row>
    <row r="4" spans="1:22" s="352" customFormat="1" ht="21.75" customHeight="1" x14ac:dyDescent="0.25">
      <c r="A4" s="347"/>
      <c r="B4" s="1669" t="s">
        <v>434</v>
      </c>
      <c r="C4" s="1670"/>
      <c r="D4" s="1670"/>
      <c r="E4" s="1670"/>
      <c r="F4" s="1670"/>
      <c r="G4" s="1671"/>
      <c r="H4" s="471"/>
      <c r="I4" s="471"/>
      <c r="J4" s="545"/>
      <c r="K4" s="350"/>
      <c r="L4" s="350"/>
      <c r="M4" s="1662"/>
      <c r="N4" s="351"/>
      <c r="O4" s="351"/>
      <c r="P4" s="351"/>
      <c r="Q4" s="351"/>
      <c r="R4" s="351"/>
      <c r="S4" s="346"/>
      <c r="T4" s="346"/>
      <c r="U4" s="346"/>
      <c r="V4" s="347"/>
    </row>
    <row r="5" spans="1:22" s="352" customFormat="1" ht="21.75" customHeight="1" x14ac:dyDescent="0.25">
      <c r="A5" s="347"/>
      <c r="B5" s="1672" t="str">
        <f>'[9]VENC. '!$B$4</f>
        <v>AL 30 DE JUNIO 2022</v>
      </c>
      <c r="C5" s="1673"/>
      <c r="D5" s="1673"/>
      <c r="E5" s="1673"/>
      <c r="F5" s="1673"/>
      <c r="G5" s="1674"/>
      <c r="H5" s="469"/>
      <c r="I5" s="469"/>
      <c r="J5" s="544"/>
      <c r="K5" s="350"/>
      <c r="L5" s="350"/>
      <c r="M5" s="1662"/>
      <c r="N5" s="351"/>
      <c r="O5" s="351"/>
      <c r="P5" s="351"/>
      <c r="Q5" s="351"/>
      <c r="R5" s="351"/>
      <c r="S5" s="346"/>
      <c r="T5" s="346"/>
      <c r="U5" s="346"/>
      <c r="V5" s="347"/>
    </row>
    <row r="6" spans="1:22" s="341" customFormat="1" ht="16.5" customHeight="1" x14ac:dyDescent="0.25">
      <c r="B6" s="1649" t="s">
        <v>362</v>
      </c>
      <c r="C6" s="1651" t="s">
        <v>363</v>
      </c>
      <c r="D6" s="1652"/>
      <c r="E6" s="1649" t="s">
        <v>364</v>
      </c>
      <c r="F6" s="1649" t="s">
        <v>365</v>
      </c>
      <c r="G6" s="1649" t="s">
        <v>366</v>
      </c>
      <c r="H6" s="356"/>
      <c r="I6" s="356"/>
      <c r="J6" s="357"/>
      <c r="K6" s="1653" t="s">
        <v>367</v>
      </c>
      <c r="L6" s="350"/>
      <c r="M6" s="1662"/>
      <c r="N6" s="353"/>
      <c r="O6" s="353"/>
      <c r="P6" s="345"/>
      <c r="Q6" s="345"/>
      <c r="R6" s="354"/>
      <c r="S6" s="346"/>
      <c r="T6" s="346"/>
      <c r="U6" s="346"/>
      <c r="V6" s="346"/>
    </row>
    <row r="7" spans="1:22" ht="16.5" customHeight="1" x14ac:dyDescent="0.35">
      <c r="B7" s="1649"/>
      <c r="C7" s="1651"/>
      <c r="D7" s="1652"/>
      <c r="E7" s="1649"/>
      <c r="F7" s="1649"/>
      <c r="G7" s="1649"/>
      <c r="H7" s="356"/>
      <c r="I7" s="356"/>
      <c r="J7" s="357"/>
      <c r="K7" s="1649"/>
      <c r="M7" s="1640"/>
      <c r="N7" s="1640"/>
      <c r="O7" s="1640"/>
      <c r="P7" s="1640"/>
      <c r="Q7" s="1640"/>
      <c r="R7" s="1640"/>
    </row>
    <row r="8" spans="1:22" ht="16.5" customHeight="1" x14ac:dyDescent="0.35">
      <c r="B8" s="1650"/>
      <c r="C8" s="360" t="s">
        <v>368</v>
      </c>
      <c r="D8" s="361" t="s">
        <v>369</v>
      </c>
      <c r="E8" s="1650"/>
      <c r="F8" s="362" t="s">
        <v>370</v>
      </c>
      <c r="G8" s="1650"/>
      <c r="H8" s="363"/>
      <c r="I8" s="363"/>
      <c r="J8" s="364"/>
      <c r="K8" s="1650"/>
      <c r="M8" s="1640"/>
      <c r="N8" s="1640"/>
      <c r="O8" s="1640"/>
      <c r="P8" s="1640"/>
      <c r="Q8" s="1640"/>
      <c r="R8" s="1640"/>
    </row>
    <row r="9" spans="1:22" ht="21" customHeight="1" x14ac:dyDescent="0.35">
      <c r="B9" s="1685" t="s">
        <v>435</v>
      </c>
      <c r="C9" s="1686"/>
      <c r="D9" s="1686"/>
      <c r="E9" s="1686"/>
      <c r="F9" s="366">
        <f>F10+F41</f>
        <v>3084958861.96</v>
      </c>
      <c r="G9" s="367"/>
      <c r="H9" s="368"/>
      <c r="I9" s="368"/>
      <c r="J9" s="369"/>
      <c r="K9" s="353"/>
      <c r="L9" s="353"/>
      <c r="M9" s="354"/>
      <c r="N9" s="338"/>
      <c r="O9" s="338"/>
      <c r="P9" s="338"/>
      <c r="Q9" s="338"/>
      <c r="R9" s="338"/>
      <c r="S9" s="340"/>
    </row>
    <row r="10" spans="1:22" s="365" customFormat="1" ht="21" customHeight="1" x14ac:dyDescent="0.25">
      <c r="B10" s="588" t="s">
        <v>219</v>
      </c>
      <c r="C10" s="534"/>
      <c r="D10" s="534"/>
      <c r="E10" s="534"/>
      <c r="F10" s="373">
        <f>SUM(F11)+F19+F39</f>
        <v>1202600044.73</v>
      </c>
      <c r="G10" s="367"/>
      <c r="H10" s="368"/>
      <c r="I10" s="368"/>
      <c r="J10" s="369"/>
      <c r="M10" s="589"/>
      <c r="R10" s="353"/>
      <c r="S10" s="353"/>
      <c r="T10" s="353"/>
      <c r="U10" s="353"/>
      <c r="V10" s="353"/>
    </row>
    <row r="11" spans="1:22" s="365" customFormat="1" ht="21" customHeight="1" x14ac:dyDescent="0.25">
      <c r="B11" s="590" t="s">
        <v>372</v>
      </c>
      <c r="C11" s="534"/>
      <c r="D11" s="534"/>
      <c r="E11" s="534"/>
      <c r="F11" s="373">
        <f>SUM(F12:F18)</f>
        <v>839744645.49000001</v>
      </c>
      <c r="G11" s="367"/>
      <c r="H11" s="368"/>
      <c r="I11" s="368"/>
      <c r="J11" s="369"/>
      <c r="R11" s="353"/>
      <c r="S11" s="353"/>
      <c r="T11" s="353"/>
      <c r="U11" s="353"/>
      <c r="V11" s="353"/>
    </row>
    <row r="12" spans="1:22" s="365" customFormat="1" ht="20.25" customHeight="1" x14ac:dyDescent="0.25">
      <c r="B12" s="487">
        <v>150000119564</v>
      </c>
      <c r="C12" s="488">
        <v>44742</v>
      </c>
      <c r="D12" s="489">
        <v>44743</v>
      </c>
      <c r="E12" s="490" t="s">
        <v>393</v>
      </c>
      <c r="F12" s="491">
        <v>160794070.11000001</v>
      </c>
      <c r="G12" s="492">
        <v>0.4</v>
      </c>
      <c r="H12" s="493">
        <f>F12*G12/100</f>
        <v>643176.28</v>
      </c>
      <c r="I12" s="591">
        <f>H19/F11</f>
        <v>9.8650000000000005E-3</v>
      </c>
      <c r="J12" s="492">
        <f>H19/F11</f>
        <v>9.8650000000000005E-3</v>
      </c>
      <c r="K12" s="383" t="s">
        <v>375</v>
      </c>
      <c r="L12" s="426" t="s">
        <v>436</v>
      </c>
      <c r="R12" s="353"/>
      <c r="S12" s="353"/>
      <c r="T12" s="353"/>
      <c r="U12" s="353"/>
      <c r="V12" s="353"/>
    </row>
    <row r="13" spans="1:22" s="365" customFormat="1" ht="20.25" customHeight="1" x14ac:dyDescent="0.25">
      <c r="B13" s="487">
        <v>150000119600</v>
      </c>
      <c r="C13" s="488">
        <v>44742</v>
      </c>
      <c r="D13" s="489">
        <v>44743</v>
      </c>
      <c r="E13" s="490" t="s">
        <v>393</v>
      </c>
      <c r="F13" s="491">
        <v>63346637.039999999</v>
      </c>
      <c r="G13" s="492">
        <v>0.4</v>
      </c>
      <c r="H13" s="493">
        <f t="shared" ref="H13:H76" si="0">F13*G13/100</f>
        <v>253386.55</v>
      </c>
      <c r="I13" s="493"/>
      <c r="J13" s="492" t="s">
        <v>387</v>
      </c>
      <c r="K13" s="383" t="s">
        <v>375</v>
      </c>
      <c r="L13" s="426"/>
      <c r="R13" s="353"/>
      <c r="S13" s="353"/>
      <c r="T13" s="353"/>
      <c r="U13" s="353"/>
      <c r="V13" s="353"/>
    </row>
    <row r="14" spans="1:22" s="365" customFormat="1" ht="20.25" customHeight="1" x14ac:dyDescent="0.25">
      <c r="B14" s="487">
        <v>150000119629</v>
      </c>
      <c r="C14" s="488">
        <v>44742</v>
      </c>
      <c r="D14" s="489">
        <v>44743</v>
      </c>
      <c r="E14" s="490" t="s">
        <v>393</v>
      </c>
      <c r="F14" s="491">
        <v>0</v>
      </c>
      <c r="G14" s="492">
        <v>0.4</v>
      </c>
      <c r="H14" s="493"/>
      <c r="I14" s="493"/>
      <c r="J14" s="492"/>
      <c r="K14" s="383" t="s">
        <v>437</v>
      </c>
      <c r="L14" s="426"/>
      <c r="R14" s="353"/>
      <c r="S14" s="353"/>
      <c r="T14" s="353"/>
      <c r="U14" s="353"/>
      <c r="V14" s="353"/>
    </row>
    <row r="15" spans="1:22" s="365" customFormat="1" ht="20.25" customHeight="1" x14ac:dyDescent="0.25">
      <c r="B15" s="487">
        <v>150000119638</v>
      </c>
      <c r="C15" s="488">
        <v>44742</v>
      </c>
      <c r="D15" s="489">
        <v>44743</v>
      </c>
      <c r="E15" s="490" t="s">
        <v>393</v>
      </c>
      <c r="F15" s="491">
        <v>376605536.72000003</v>
      </c>
      <c r="G15" s="492">
        <v>0.4</v>
      </c>
      <c r="H15" s="493">
        <f t="shared" si="0"/>
        <v>1506422.15</v>
      </c>
      <c r="I15" s="493"/>
      <c r="J15" s="492"/>
      <c r="K15" s="383" t="s">
        <v>437</v>
      </c>
      <c r="L15" s="426"/>
      <c r="R15" s="353"/>
      <c r="S15" s="353"/>
      <c r="T15" s="353"/>
      <c r="U15" s="353"/>
      <c r="V15" s="353"/>
    </row>
    <row r="16" spans="1:22" s="365" customFormat="1" ht="20.25" customHeight="1" x14ac:dyDescent="0.25">
      <c r="B16" s="592">
        <v>110000081570</v>
      </c>
      <c r="C16" s="593">
        <v>44739</v>
      </c>
      <c r="D16" s="594">
        <v>44769</v>
      </c>
      <c r="E16" s="595" t="s">
        <v>438</v>
      </c>
      <c r="F16" s="596">
        <v>71882137.159999996</v>
      </c>
      <c r="G16" s="597">
        <v>0.6</v>
      </c>
      <c r="H16" s="493">
        <f t="shared" si="0"/>
        <v>431292.82</v>
      </c>
      <c r="I16" s="598"/>
      <c r="J16" s="597"/>
      <c r="K16" s="505" t="s">
        <v>437</v>
      </c>
      <c r="L16" s="353"/>
      <c r="R16" s="353"/>
      <c r="S16" s="353"/>
      <c r="T16" s="353"/>
      <c r="U16" s="353"/>
      <c r="V16" s="353"/>
    </row>
    <row r="17" spans="1:22" s="370" customFormat="1" ht="21" customHeight="1" x14ac:dyDescent="0.25">
      <c r="A17" s="365"/>
      <c r="B17" s="498">
        <v>110000053315</v>
      </c>
      <c r="C17" s="499">
        <v>42916</v>
      </c>
      <c r="D17" s="500">
        <v>45838</v>
      </c>
      <c r="E17" s="501" t="s">
        <v>383</v>
      </c>
      <c r="F17" s="411">
        <v>130615601.88</v>
      </c>
      <c r="G17" s="502">
        <v>3.25</v>
      </c>
      <c r="H17" s="493">
        <f t="shared" si="0"/>
        <v>4245007.0599999996</v>
      </c>
      <c r="I17" s="504"/>
      <c r="J17" s="502"/>
      <c r="K17" s="505" t="s">
        <v>375</v>
      </c>
      <c r="L17" s="365" t="s">
        <v>397</v>
      </c>
      <c r="M17" s="365"/>
      <c r="N17" s="599"/>
      <c r="R17" s="374"/>
      <c r="S17" s="374"/>
      <c r="T17" s="374"/>
      <c r="U17" s="374"/>
      <c r="V17" s="374"/>
    </row>
    <row r="18" spans="1:22" s="365" customFormat="1" ht="21" customHeight="1" x14ac:dyDescent="0.25">
      <c r="B18" s="414">
        <v>110000058581</v>
      </c>
      <c r="C18" s="407" t="s">
        <v>398</v>
      </c>
      <c r="D18" s="407" t="s">
        <v>399</v>
      </c>
      <c r="E18" s="402" t="s">
        <v>383</v>
      </c>
      <c r="F18" s="411">
        <v>36500662.579999998</v>
      </c>
      <c r="G18" s="404">
        <v>3.3</v>
      </c>
      <c r="H18" s="493">
        <f t="shared" si="0"/>
        <v>1204521.8700000001</v>
      </c>
      <c r="I18" s="497"/>
      <c r="J18" s="404"/>
      <c r="K18" s="505" t="s">
        <v>375</v>
      </c>
      <c r="L18" s="365" t="s">
        <v>400</v>
      </c>
      <c r="R18" s="353"/>
      <c r="S18" s="353"/>
      <c r="T18" s="353"/>
      <c r="U18" s="353"/>
      <c r="V18" s="353"/>
    </row>
    <row r="19" spans="1:22" s="365" customFormat="1" ht="21" customHeight="1" x14ac:dyDescent="0.25">
      <c r="B19" s="600" t="s">
        <v>401</v>
      </c>
      <c r="C19" s="423"/>
      <c r="D19" s="423"/>
      <c r="E19" s="407"/>
      <c r="F19" s="601">
        <f>SUM(F20:F38)</f>
        <v>354851199.88999999</v>
      </c>
      <c r="G19" s="602"/>
      <c r="H19" s="493">
        <f>SUM(H12:H18)</f>
        <v>8283806.7300000004</v>
      </c>
      <c r="I19" s="368"/>
      <c r="J19" s="369"/>
      <c r="R19" s="353"/>
      <c r="S19" s="353"/>
      <c r="T19" s="353"/>
      <c r="U19" s="353"/>
      <c r="V19" s="353"/>
    </row>
    <row r="20" spans="1:22" s="386" customFormat="1" ht="21" customHeight="1" x14ac:dyDescent="0.25">
      <c r="A20" s="392"/>
      <c r="B20" s="415" t="s">
        <v>439</v>
      </c>
      <c r="C20" s="401">
        <v>42227</v>
      </c>
      <c r="D20" s="401">
        <v>44782</v>
      </c>
      <c r="E20" s="402" t="s">
        <v>381</v>
      </c>
      <c r="F20" s="403">
        <v>10236855.9</v>
      </c>
      <c r="G20" s="404">
        <v>4.8125</v>
      </c>
      <c r="H20" s="493">
        <f t="shared" si="0"/>
        <v>492648.69</v>
      </c>
      <c r="I20" s="603">
        <f>H39/F19</f>
        <v>4.1930000000000002E-2</v>
      </c>
      <c r="J20" s="404">
        <f>H39/F19</f>
        <v>4.1928E-2</v>
      </c>
      <c r="K20" s="505" t="s">
        <v>375</v>
      </c>
      <c r="L20" s="392" t="s">
        <v>440</v>
      </c>
      <c r="M20" s="392"/>
      <c r="R20" s="604"/>
      <c r="S20" s="604"/>
      <c r="T20" s="604"/>
      <c r="U20" s="604"/>
      <c r="V20" s="604"/>
    </row>
    <row r="21" spans="1:22" s="392" customFormat="1" ht="21" customHeight="1" x14ac:dyDescent="0.25">
      <c r="B21" s="415" t="s">
        <v>441</v>
      </c>
      <c r="C21" s="401">
        <v>42431</v>
      </c>
      <c r="D21" s="401">
        <v>44986</v>
      </c>
      <c r="E21" s="402" t="s">
        <v>381</v>
      </c>
      <c r="F21" s="403">
        <v>15237563.42</v>
      </c>
      <c r="G21" s="404">
        <v>4.8125</v>
      </c>
      <c r="H21" s="493">
        <f t="shared" si="0"/>
        <v>733307.74</v>
      </c>
      <c r="I21" s="497"/>
      <c r="J21" s="404" t="s">
        <v>387</v>
      </c>
      <c r="K21" s="505" t="s">
        <v>375</v>
      </c>
      <c r="L21" s="392" t="s">
        <v>18</v>
      </c>
      <c r="R21" s="393"/>
      <c r="S21" s="393"/>
      <c r="T21" s="393"/>
      <c r="U21" s="393"/>
      <c r="V21" s="393"/>
    </row>
    <row r="22" spans="1:22" s="386" customFormat="1" ht="21" customHeight="1" x14ac:dyDescent="0.25">
      <c r="A22" s="392"/>
      <c r="B22" s="511" t="s">
        <v>442</v>
      </c>
      <c r="C22" s="400">
        <v>42599</v>
      </c>
      <c r="D22" s="400">
        <v>45155</v>
      </c>
      <c r="E22" s="516" t="s">
        <v>381</v>
      </c>
      <c r="F22" s="411">
        <v>10275434.09</v>
      </c>
      <c r="G22" s="412">
        <v>4.8</v>
      </c>
      <c r="H22" s="493">
        <f t="shared" si="0"/>
        <v>493220.84</v>
      </c>
      <c r="I22" s="523"/>
      <c r="J22" s="412"/>
      <c r="K22" s="505" t="s">
        <v>375</v>
      </c>
      <c r="L22" s="392"/>
      <c r="M22" s="392"/>
      <c r="R22" s="604"/>
      <c r="S22" s="604"/>
      <c r="T22" s="604"/>
      <c r="U22" s="604"/>
      <c r="V22" s="604"/>
    </row>
    <row r="23" spans="1:22" s="579" customFormat="1" ht="21" customHeight="1" x14ac:dyDescent="0.25">
      <c r="B23" s="415" t="s">
        <v>443</v>
      </c>
      <c r="C23" s="401">
        <v>42250</v>
      </c>
      <c r="D23" s="401">
        <v>45170</v>
      </c>
      <c r="E23" s="402" t="s">
        <v>383</v>
      </c>
      <c r="F23" s="403">
        <v>41978090.93</v>
      </c>
      <c r="G23" s="404">
        <v>4.875</v>
      </c>
      <c r="H23" s="493">
        <f t="shared" si="0"/>
        <v>2046431.93</v>
      </c>
      <c r="I23" s="497"/>
      <c r="J23" s="665">
        <f>(H19+H39)/(F11+F19)</f>
        <v>1.9389010000000002E-2</v>
      </c>
      <c r="K23" s="505" t="s">
        <v>375</v>
      </c>
      <c r="L23" s="392"/>
      <c r="M23" s="605"/>
      <c r="R23" s="581"/>
      <c r="S23" s="581"/>
      <c r="T23" s="581"/>
      <c r="U23" s="581"/>
      <c r="V23" s="581"/>
    </row>
    <row r="24" spans="1:22" s="392" customFormat="1" ht="21" customHeight="1" x14ac:dyDescent="0.25">
      <c r="A24" s="392" t="s">
        <v>444</v>
      </c>
      <c r="B24" s="415" t="s">
        <v>445</v>
      </c>
      <c r="C24" s="401">
        <v>42277</v>
      </c>
      <c r="D24" s="401">
        <v>45197</v>
      </c>
      <c r="E24" s="402" t="s">
        <v>383</v>
      </c>
      <c r="F24" s="403">
        <v>11110167.27</v>
      </c>
      <c r="G24" s="404">
        <v>4.9000000000000004</v>
      </c>
      <c r="H24" s="493">
        <f t="shared" si="0"/>
        <v>544398.19999999995</v>
      </c>
      <c r="I24" s="497"/>
      <c r="J24" s="404"/>
      <c r="K24" s="505" t="s">
        <v>375</v>
      </c>
      <c r="R24" s="393"/>
      <c r="S24" s="393"/>
      <c r="T24" s="393"/>
      <c r="U24" s="393"/>
      <c r="V24" s="393"/>
    </row>
    <row r="25" spans="1:22" s="579" customFormat="1" ht="21" customHeight="1" x14ac:dyDescent="0.25">
      <c r="B25" s="511" t="s">
        <v>446</v>
      </c>
      <c r="C25" s="400">
        <v>43340</v>
      </c>
      <c r="D25" s="406">
        <v>45530</v>
      </c>
      <c r="E25" s="516" t="s">
        <v>379</v>
      </c>
      <c r="F25" s="521">
        <v>8254649.3200000003</v>
      </c>
      <c r="G25" s="412">
        <v>4.875</v>
      </c>
      <c r="H25" s="493">
        <f t="shared" si="0"/>
        <v>402414.15</v>
      </c>
      <c r="I25" s="523"/>
      <c r="J25" s="412"/>
      <c r="K25" s="505" t="s">
        <v>375</v>
      </c>
      <c r="L25" s="392" t="s">
        <v>447</v>
      </c>
      <c r="Q25" s="581"/>
      <c r="R25" s="581"/>
      <c r="S25" s="581"/>
      <c r="T25" s="581"/>
      <c r="U25" s="581"/>
    </row>
    <row r="26" spans="1:22" s="386" customFormat="1" ht="21" customHeight="1" x14ac:dyDescent="0.25">
      <c r="A26" s="392"/>
      <c r="B26" s="511" t="s">
        <v>448</v>
      </c>
      <c r="C26" s="400">
        <v>43017</v>
      </c>
      <c r="D26" s="406">
        <v>45574</v>
      </c>
      <c r="E26" s="410" t="s">
        <v>381</v>
      </c>
      <c r="F26" s="411">
        <v>11837095.42</v>
      </c>
      <c r="G26" s="404">
        <v>4.5</v>
      </c>
      <c r="H26" s="493">
        <f t="shared" si="0"/>
        <v>532669.29</v>
      </c>
      <c r="I26" s="497"/>
      <c r="J26" s="404"/>
      <c r="K26" s="505" t="s">
        <v>375</v>
      </c>
      <c r="L26" s="392">
        <v>2284</v>
      </c>
      <c r="M26" s="392"/>
      <c r="R26" s="604"/>
      <c r="S26" s="604"/>
      <c r="T26" s="604"/>
      <c r="U26" s="604"/>
      <c r="V26" s="604"/>
    </row>
    <row r="27" spans="1:22" s="386" customFormat="1" ht="21" customHeight="1" x14ac:dyDescent="0.25">
      <c r="A27" s="392"/>
      <c r="B27" s="511" t="s">
        <v>449</v>
      </c>
      <c r="C27" s="400">
        <v>43511</v>
      </c>
      <c r="D27" s="406">
        <v>45702</v>
      </c>
      <c r="E27" s="410" t="s">
        <v>379</v>
      </c>
      <c r="F27" s="411">
        <v>40953267.450000003</v>
      </c>
      <c r="G27" s="404">
        <v>5</v>
      </c>
      <c r="H27" s="493">
        <f t="shared" si="0"/>
        <v>2047663.37</v>
      </c>
      <c r="I27" s="497"/>
      <c r="J27" s="404"/>
      <c r="K27" s="505" t="s">
        <v>375</v>
      </c>
      <c r="L27" s="392"/>
      <c r="M27" s="392"/>
      <c r="R27" s="604"/>
      <c r="S27" s="604"/>
      <c r="T27" s="604"/>
      <c r="U27" s="604"/>
      <c r="V27" s="604"/>
    </row>
    <row r="28" spans="1:22" s="579" customFormat="1" ht="21" customHeight="1" x14ac:dyDescent="0.25">
      <c r="B28" s="606" t="s">
        <v>450</v>
      </c>
      <c r="C28" s="607">
        <v>43434</v>
      </c>
      <c r="D28" s="500">
        <v>45988</v>
      </c>
      <c r="E28" s="410" t="s">
        <v>381</v>
      </c>
      <c r="F28" s="411">
        <v>12660000</v>
      </c>
      <c r="G28" s="412">
        <v>5.125</v>
      </c>
      <c r="H28" s="493">
        <f t="shared" si="0"/>
        <v>648825</v>
      </c>
      <c r="I28" s="523"/>
      <c r="J28" s="412"/>
      <c r="K28" s="505" t="s">
        <v>375</v>
      </c>
      <c r="L28" s="392" t="s">
        <v>451</v>
      </c>
      <c r="R28" s="581"/>
      <c r="S28" s="581"/>
      <c r="T28" s="581"/>
      <c r="U28" s="581"/>
      <c r="V28" s="581"/>
    </row>
    <row r="29" spans="1:22" s="579" customFormat="1" ht="21" customHeight="1" x14ac:dyDescent="0.25">
      <c r="B29" s="511" t="s">
        <v>452</v>
      </c>
      <c r="C29" s="400">
        <v>43452</v>
      </c>
      <c r="D29" s="400">
        <v>46007</v>
      </c>
      <c r="E29" s="410" t="s">
        <v>381</v>
      </c>
      <c r="F29" s="411">
        <v>8065285.2000000002</v>
      </c>
      <c r="G29" s="412">
        <v>5.125</v>
      </c>
      <c r="H29" s="493">
        <f t="shared" si="0"/>
        <v>413345.87</v>
      </c>
      <c r="I29" s="523"/>
      <c r="J29" s="412"/>
      <c r="K29" s="505" t="s">
        <v>375</v>
      </c>
      <c r="L29" s="391" t="s">
        <v>453</v>
      </c>
      <c r="R29" s="581"/>
      <c r="S29" s="581"/>
      <c r="T29" s="581"/>
      <c r="U29" s="581"/>
      <c r="V29" s="581"/>
    </row>
    <row r="30" spans="1:22" s="579" customFormat="1" ht="21" customHeight="1" x14ac:dyDescent="0.25">
      <c r="B30" s="511" t="s">
        <v>454</v>
      </c>
      <c r="C30" s="400">
        <v>43815</v>
      </c>
      <c r="D30" s="400">
        <v>46370</v>
      </c>
      <c r="E30" s="410" t="s">
        <v>381</v>
      </c>
      <c r="F30" s="411">
        <v>4618825.3099999996</v>
      </c>
      <c r="G30" s="412">
        <v>4.25</v>
      </c>
      <c r="H30" s="493">
        <f t="shared" si="0"/>
        <v>196300.08</v>
      </c>
      <c r="I30" s="523"/>
      <c r="J30" s="412"/>
      <c r="K30" s="505" t="s">
        <v>375</v>
      </c>
      <c r="L30" s="608" t="s">
        <v>409</v>
      </c>
      <c r="R30" s="581"/>
      <c r="S30" s="581"/>
      <c r="T30" s="581"/>
      <c r="U30" s="581"/>
      <c r="V30" s="581"/>
    </row>
    <row r="31" spans="1:22" s="609" customFormat="1" ht="21" customHeight="1" x14ac:dyDescent="0.25">
      <c r="B31" s="511" t="s">
        <v>455</v>
      </c>
      <c r="C31" s="400">
        <v>44075</v>
      </c>
      <c r="D31" s="400">
        <v>46629</v>
      </c>
      <c r="E31" s="410" t="s">
        <v>381</v>
      </c>
      <c r="F31" s="411">
        <v>123965.58</v>
      </c>
      <c r="G31" s="412">
        <v>3.53</v>
      </c>
      <c r="H31" s="493">
        <f t="shared" si="0"/>
        <v>4375.9799999999996</v>
      </c>
      <c r="I31" s="523"/>
      <c r="J31" s="412"/>
      <c r="K31" s="505" t="s">
        <v>375</v>
      </c>
      <c r="L31" s="610"/>
      <c r="R31" s="611"/>
      <c r="S31" s="611"/>
      <c r="T31" s="611"/>
      <c r="U31" s="611"/>
      <c r="V31" s="611"/>
    </row>
    <row r="32" spans="1:22" s="612" customFormat="1" ht="21" customHeight="1" x14ac:dyDescent="0.25">
      <c r="B32" s="511" t="s">
        <v>456</v>
      </c>
      <c r="C32" s="400">
        <v>43815</v>
      </c>
      <c r="D32" s="400">
        <v>46735</v>
      </c>
      <c r="E32" s="410" t="s">
        <v>383</v>
      </c>
      <c r="F32" s="411">
        <v>25000000</v>
      </c>
      <c r="G32" s="412">
        <v>4.375</v>
      </c>
      <c r="H32" s="493">
        <f t="shared" si="0"/>
        <v>1093750</v>
      </c>
      <c r="I32" s="523"/>
      <c r="J32" s="412"/>
      <c r="K32" s="505" t="s">
        <v>375</v>
      </c>
      <c r="L32" s="608" t="s">
        <v>409</v>
      </c>
      <c r="R32" s="613"/>
      <c r="S32" s="613"/>
      <c r="T32" s="613"/>
      <c r="U32" s="613"/>
      <c r="V32" s="613"/>
    </row>
    <row r="33" spans="1:22" s="612" customFormat="1" ht="21" customHeight="1" x14ac:dyDescent="0.25">
      <c r="B33" s="511" t="s">
        <v>457</v>
      </c>
      <c r="C33" s="400">
        <v>44075</v>
      </c>
      <c r="D33" s="400">
        <v>46995</v>
      </c>
      <c r="E33" s="410" t="s">
        <v>383</v>
      </c>
      <c r="F33" s="411">
        <v>50000000</v>
      </c>
      <c r="G33" s="412">
        <v>3.55</v>
      </c>
      <c r="H33" s="493">
        <f t="shared" si="0"/>
        <v>1775000</v>
      </c>
      <c r="I33" s="523"/>
      <c r="J33" s="412"/>
      <c r="K33" s="505" t="s">
        <v>375</v>
      </c>
      <c r="L33" s="608"/>
      <c r="R33" s="613"/>
      <c r="S33" s="613"/>
      <c r="T33" s="613"/>
      <c r="U33" s="613"/>
      <c r="V33" s="613"/>
    </row>
    <row r="34" spans="1:22" s="612" customFormat="1" ht="21" customHeight="1" x14ac:dyDescent="0.25">
      <c r="B34" s="511" t="s">
        <v>458</v>
      </c>
      <c r="C34" s="400">
        <v>44676</v>
      </c>
      <c r="D34" s="400">
        <v>47231</v>
      </c>
      <c r="E34" s="410" t="s">
        <v>381</v>
      </c>
      <c r="F34" s="411">
        <v>30000000</v>
      </c>
      <c r="G34" s="412">
        <v>3.125</v>
      </c>
      <c r="H34" s="493">
        <f t="shared" si="0"/>
        <v>937500</v>
      </c>
      <c r="I34" s="523"/>
      <c r="J34" s="412"/>
      <c r="K34" s="505" t="s">
        <v>437</v>
      </c>
      <c r="L34" s="608" t="s">
        <v>459</v>
      </c>
      <c r="R34" s="613"/>
      <c r="S34" s="613"/>
      <c r="T34" s="613"/>
      <c r="U34" s="613"/>
      <c r="V34" s="613"/>
    </row>
    <row r="35" spans="1:22" s="612" customFormat="1" ht="21" customHeight="1" x14ac:dyDescent="0.25">
      <c r="B35" s="614" t="s">
        <v>460</v>
      </c>
      <c r="C35" s="615">
        <v>44726</v>
      </c>
      <c r="D35" s="615">
        <v>47281</v>
      </c>
      <c r="E35" s="616" t="s">
        <v>381</v>
      </c>
      <c r="F35" s="566">
        <v>21000000</v>
      </c>
      <c r="G35" s="564">
        <v>3.95</v>
      </c>
      <c r="H35" s="493">
        <f t="shared" si="0"/>
        <v>829500</v>
      </c>
      <c r="I35" s="617"/>
      <c r="J35" s="564"/>
      <c r="K35" s="505" t="s">
        <v>437</v>
      </c>
      <c r="L35" s="608"/>
      <c r="R35" s="613"/>
      <c r="S35" s="613"/>
      <c r="T35" s="613"/>
      <c r="U35" s="613"/>
      <c r="V35" s="613"/>
    </row>
    <row r="36" spans="1:22" s="612" customFormat="1" ht="21" customHeight="1" x14ac:dyDescent="0.25">
      <c r="B36" s="511" t="s">
        <v>461</v>
      </c>
      <c r="C36" s="400">
        <v>44260</v>
      </c>
      <c r="D36" s="400">
        <v>47547</v>
      </c>
      <c r="E36" s="410" t="s">
        <v>462</v>
      </c>
      <c r="F36" s="411">
        <v>25000000</v>
      </c>
      <c r="G36" s="412">
        <v>3</v>
      </c>
      <c r="H36" s="493">
        <f t="shared" si="0"/>
        <v>750000</v>
      </c>
      <c r="I36" s="523"/>
      <c r="J36" s="412"/>
      <c r="K36" s="505" t="s">
        <v>437</v>
      </c>
      <c r="L36" s="610" t="s">
        <v>463</v>
      </c>
      <c r="R36" s="613"/>
      <c r="S36" s="613"/>
      <c r="T36" s="613"/>
      <c r="U36" s="613"/>
      <c r="V36" s="613"/>
    </row>
    <row r="37" spans="1:22" s="612" customFormat="1" ht="21" customHeight="1" x14ac:dyDescent="0.25">
      <c r="B37" s="614" t="s">
        <v>464</v>
      </c>
      <c r="C37" s="615">
        <v>44676</v>
      </c>
      <c r="D37" s="615">
        <v>47596</v>
      </c>
      <c r="E37" s="616" t="s">
        <v>383</v>
      </c>
      <c r="F37" s="566">
        <v>20000000</v>
      </c>
      <c r="G37" s="564">
        <v>3.25</v>
      </c>
      <c r="H37" s="493">
        <f t="shared" si="0"/>
        <v>650000</v>
      </c>
      <c r="I37" s="617"/>
      <c r="J37" s="564"/>
      <c r="K37" s="505" t="s">
        <v>437</v>
      </c>
      <c r="L37" s="608" t="s">
        <v>459</v>
      </c>
      <c r="R37" s="613"/>
      <c r="S37" s="613"/>
      <c r="T37" s="613"/>
      <c r="U37" s="613"/>
      <c r="V37" s="613"/>
    </row>
    <row r="38" spans="1:22" s="609" customFormat="1" ht="21" customHeight="1" x14ac:dyDescent="0.25">
      <c r="B38" s="614" t="s">
        <v>465</v>
      </c>
      <c r="C38" s="615">
        <v>44676</v>
      </c>
      <c r="D38" s="615">
        <v>47961</v>
      </c>
      <c r="E38" s="616" t="s">
        <v>462</v>
      </c>
      <c r="F38" s="566">
        <v>8500000</v>
      </c>
      <c r="G38" s="564">
        <v>3.375</v>
      </c>
      <c r="H38" s="493">
        <f t="shared" si="0"/>
        <v>286875</v>
      </c>
      <c r="I38" s="617"/>
      <c r="J38" s="564"/>
      <c r="K38" s="618" t="s">
        <v>437</v>
      </c>
      <c r="L38" s="610" t="s">
        <v>459</v>
      </c>
      <c r="R38" s="611"/>
      <c r="S38" s="611"/>
      <c r="T38" s="611"/>
      <c r="U38" s="611"/>
      <c r="V38" s="611"/>
    </row>
    <row r="39" spans="1:22" s="365" customFormat="1" ht="21" customHeight="1" x14ac:dyDescent="0.25">
      <c r="B39" s="600" t="s">
        <v>422</v>
      </c>
      <c r="C39" s="423"/>
      <c r="D39" s="423"/>
      <c r="E39" s="407"/>
      <c r="F39" s="601">
        <f>SUM(F40:F40)</f>
        <v>8004199.3499999996</v>
      </c>
      <c r="G39" s="602"/>
      <c r="H39" s="493">
        <f>SUM(H20:H38)</f>
        <v>14878226.140000001</v>
      </c>
      <c r="I39" s="368"/>
      <c r="J39" s="369"/>
      <c r="M39" s="619">
        <v>228261.87</v>
      </c>
      <c r="R39" s="353"/>
      <c r="S39" s="353"/>
      <c r="T39" s="353"/>
      <c r="U39" s="353"/>
      <c r="V39" s="353"/>
    </row>
    <row r="40" spans="1:22" s="365" customFormat="1" ht="21" customHeight="1" x14ac:dyDescent="0.25">
      <c r="B40" s="414">
        <v>258903476</v>
      </c>
      <c r="C40" s="401">
        <v>42193</v>
      </c>
      <c r="D40" s="407">
        <v>44750</v>
      </c>
      <c r="E40" s="402" t="s">
        <v>381</v>
      </c>
      <c r="F40" s="403">
        <v>8004199.3499999996</v>
      </c>
      <c r="G40" s="404">
        <v>5.65</v>
      </c>
      <c r="H40" s="493">
        <f t="shared" si="0"/>
        <v>452237.26</v>
      </c>
      <c r="I40" s="497">
        <v>5.65</v>
      </c>
      <c r="J40" s="404"/>
      <c r="K40" s="505" t="s">
        <v>375</v>
      </c>
      <c r="R40" s="353"/>
      <c r="S40" s="353"/>
      <c r="T40" s="353"/>
      <c r="U40" s="353"/>
      <c r="V40" s="353"/>
    </row>
    <row r="41" spans="1:22" s="365" customFormat="1" ht="21" customHeight="1" x14ac:dyDescent="0.25">
      <c r="B41" s="588" t="s">
        <v>284</v>
      </c>
      <c r="C41" s="534"/>
      <c r="D41" s="534"/>
      <c r="E41" s="534"/>
      <c r="F41" s="373">
        <f>SUM(F42)+F57+F81+F83+F52</f>
        <v>1882358817.23</v>
      </c>
      <c r="G41" s="367"/>
      <c r="H41" s="493"/>
      <c r="I41" s="368"/>
      <c r="J41" s="369"/>
      <c r="M41" s="589"/>
      <c r="R41" s="353"/>
      <c r="S41" s="353"/>
      <c r="T41" s="353"/>
      <c r="U41" s="353"/>
      <c r="V41" s="353"/>
    </row>
    <row r="42" spans="1:22" s="370" customFormat="1" ht="21" customHeight="1" x14ac:dyDescent="0.25">
      <c r="A42" s="365"/>
      <c r="B42" s="620" t="s">
        <v>372</v>
      </c>
      <c r="C42" s="534"/>
      <c r="D42" s="534"/>
      <c r="E42" s="423"/>
      <c r="F42" s="621">
        <f>SUM(F43:F50)</f>
        <v>1221686305.3199999</v>
      </c>
      <c r="G42" s="425"/>
      <c r="H42" s="493"/>
      <c r="I42" s="368"/>
      <c r="J42" s="369"/>
      <c r="K42" s="365"/>
      <c r="L42" s="365"/>
      <c r="M42" s="365"/>
      <c r="R42" s="374"/>
      <c r="S42" s="374"/>
      <c r="T42" s="374"/>
      <c r="U42" s="374"/>
      <c r="V42" s="374"/>
    </row>
    <row r="43" spans="1:22" s="365" customFormat="1" ht="20.25" customHeight="1" x14ac:dyDescent="0.25">
      <c r="B43" s="487">
        <v>150000119564</v>
      </c>
      <c r="C43" s="488">
        <v>44742</v>
      </c>
      <c r="D43" s="489">
        <v>44743</v>
      </c>
      <c r="E43" s="490" t="s">
        <v>393</v>
      </c>
      <c r="F43" s="491">
        <v>252288035.84999999</v>
      </c>
      <c r="G43" s="492">
        <v>0.4</v>
      </c>
      <c r="H43" s="493">
        <f t="shared" si="0"/>
        <v>1009152.14</v>
      </c>
      <c r="I43" s="494">
        <f>H51/F42</f>
        <v>0</v>
      </c>
      <c r="J43" s="492">
        <f>H51/F42</f>
        <v>0</v>
      </c>
      <c r="K43" s="505" t="s">
        <v>375</v>
      </c>
      <c r="L43" s="426" t="s">
        <v>436</v>
      </c>
      <c r="R43" s="353"/>
      <c r="S43" s="353"/>
      <c r="T43" s="353"/>
      <c r="U43" s="353"/>
      <c r="V43" s="353"/>
    </row>
    <row r="44" spans="1:22" s="365" customFormat="1" ht="20.25" customHeight="1" x14ac:dyDescent="0.25">
      <c r="B44" s="487">
        <v>150000119600</v>
      </c>
      <c r="C44" s="488">
        <v>44742</v>
      </c>
      <c r="D44" s="489">
        <v>44743</v>
      </c>
      <c r="E44" s="490" t="s">
        <v>393</v>
      </c>
      <c r="F44" s="491">
        <v>99391716.510000005</v>
      </c>
      <c r="G44" s="492">
        <v>0.4</v>
      </c>
      <c r="H44" s="493">
        <f t="shared" si="0"/>
        <v>397566.87</v>
      </c>
      <c r="I44" s="493"/>
      <c r="J44" s="492">
        <f>H57</f>
        <v>12243568.99</v>
      </c>
      <c r="K44" s="505" t="s">
        <v>375</v>
      </c>
      <c r="L44" s="426"/>
      <c r="R44" s="353"/>
      <c r="S44" s="353"/>
      <c r="T44" s="353"/>
      <c r="U44" s="353"/>
      <c r="V44" s="353"/>
    </row>
    <row r="45" spans="1:22" s="365" customFormat="1" ht="20.25" customHeight="1" x14ac:dyDescent="0.25">
      <c r="B45" s="487">
        <v>150000119629</v>
      </c>
      <c r="C45" s="488">
        <v>44742</v>
      </c>
      <c r="D45" s="489">
        <v>44743</v>
      </c>
      <c r="E45" s="490" t="s">
        <v>393</v>
      </c>
      <c r="F45" s="491">
        <v>500000000</v>
      </c>
      <c r="G45" s="492">
        <v>0.4</v>
      </c>
      <c r="H45" s="493">
        <f t="shared" si="0"/>
        <v>2000000</v>
      </c>
      <c r="I45" s="493"/>
      <c r="J45" s="492">
        <f>F42+F52</f>
        <v>1287096805.3199999</v>
      </c>
      <c r="K45" s="505" t="s">
        <v>437</v>
      </c>
      <c r="L45" s="426"/>
      <c r="R45" s="353"/>
      <c r="S45" s="353"/>
      <c r="T45" s="353"/>
      <c r="U45" s="353"/>
      <c r="V45" s="353"/>
    </row>
    <row r="46" spans="1:22" s="365" customFormat="1" ht="20.25" customHeight="1" x14ac:dyDescent="0.25">
      <c r="B46" s="487">
        <v>150000119638</v>
      </c>
      <c r="C46" s="488">
        <v>44742</v>
      </c>
      <c r="D46" s="489">
        <v>44743</v>
      </c>
      <c r="E46" s="490" t="s">
        <v>393</v>
      </c>
      <c r="F46" s="491">
        <v>37089379.280000001</v>
      </c>
      <c r="G46" s="492">
        <v>0.4</v>
      </c>
      <c r="H46" s="493">
        <f t="shared" si="0"/>
        <v>148357.51999999999</v>
      </c>
      <c r="I46" s="493"/>
      <c r="J46" s="492">
        <f>J44/J45</f>
        <v>9.5130000000000006E-3</v>
      </c>
      <c r="K46" s="505" t="s">
        <v>437</v>
      </c>
      <c r="L46" s="426"/>
      <c r="R46" s="353"/>
      <c r="S46" s="353"/>
      <c r="T46" s="353"/>
      <c r="U46" s="353"/>
      <c r="V46" s="353"/>
    </row>
    <row r="47" spans="1:22" s="365" customFormat="1" ht="20.25" customHeight="1" x14ac:dyDescent="0.25">
      <c r="B47" s="592">
        <v>110000081580</v>
      </c>
      <c r="C47" s="593">
        <v>44739</v>
      </c>
      <c r="D47" s="594">
        <v>44769</v>
      </c>
      <c r="E47" s="595" t="s">
        <v>438</v>
      </c>
      <c r="F47" s="596">
        <v>99265808.459999993</v>
      </c>
      <c r="G47" s="597">
        <v>0.6</v>
      </c>
      <c r="H47" s="493">
        <f t="shared" si="0"/>
        <v>595594.85</v>
      </c>
      <c r="I47" s="598"/>
      <c r="J47" s="597"/>
      <c r="K47" s="505" t="s">
        <v>437</v>
      </c>
      <c r="L47" s="353"/>
      <c r="R47" s="353"/>
      <c r="S47" s="353"/>
      <c r="T47" s="353"/>
      <c r="U47" s="353"/>
      <c r="V47" s="353"/>
    </row>
    <row r="48" spans="1:22" s="520" customFormat="1" ht="21" customHeight="1" x14ac:dyDescent="0.25">
      <c r="B48" s="399">
        <v>110000058124</v>
      </c>
      <c r="C48" s="406">
        <v>43150</v>
      </c>
      <c r="D48" s="406">
        <v>45707</v>
      </c>
      <c r="E48" s="410" t="s">
        <v>381</v>
      </c>
      <c r="F48" s="411">
        <v>19953269.760000002</v>
      </c>
      <c r="G48" s="412">
        <v>3.15</v>
      </c>
      <c r="H48" s="493">
        <f t="shared" si="0"/>
        <v>628528</v>
      </c>
      <c r="I48" s="523"/>
      <c r="J48" s="412"/>
      <c r="K48" s="505" t="s">
        <v>375</v>
      </c>
      <c r="L48" s="405" t="s">
        <v>466</v>
      </c>
      <c r="R48" s="524"/>
      <c r="S48" s="524"/>
      <c r="T48" s="524"/>
      <c r="U48" s="524"/>
      <c r="V48" s="524"/>
    </row>
    <row r="49" spans="1:22" s="370" customFormat="1" ht="21" customHeight="1" x14ac:dyDescent="0.25">
      <c r="A49" s="365"/>
      <c r="B49" s="498">
        <v>110000053342</v>
      </c>
      <c r="C49" s="402">
        <v>42916</v>
      </c>
      <c r="D49" s="622">
        <v>45838</v>
      </c>
      <c r="E49" s="501" t="s">
        <v>383</v>
      </c>
      <c r="F49" s="411">
        <v>144492578.03999999</v>
      </c>
      <c r="G49" s="502">
        <v>3.25</v>
      </c>
      <c r="H49" s="493">
        <f t="shared" si="0"/>
        <v>4696008.79</v>
      </c>
      <c r="I49" s="504"/>
      <c r="J49" s="502"/>
      <c r="K49" s="505" t="s">
        <v>375</v>
      </c>
      <c r="L49" s="365" t="s">
        <v>467</v>
      </c>
      <c r="M49" s="365"/>
      <c r="R49" s="374"/>
      <c r="S49" s="374"/>
      <c r="T49" s="374"/>
      <c r="U49" s="374"/>
      <c r="V49" s="374"/>
    </row>
    <row r="50" spans="1:22" s="370" customFormat="1" ht="21" customHeight="1" x14ac:dyDescent="0.25">
      <c r="A50" s="365"/>
      <c r="B50" s="414">
        <v>110000058590</v>
      </c>
      <c r="C50" s="407" t="s">
        <v>398</v>
      </c>
      <c r="D50" s="407" t="s">
        <v>399</v>
      </c>
      <c r="E50" s="402" t="s">
        <v>383</v>
      </c>
      <c r="F50" s="411">
        <v>69205517.420000002</v>
      </c>
      <c r="G50" s="404">
        <v>3.3</v>
      </c>
      <c r="H50" s="493">
        <f t="shared" si="0"/>
        <v>2283782.0699999998</v>
      </c>
      <c r="I50" s="497"/>
      <c r="J50" s="404"/>
      <c r="K50" s="505" t="s">
        <v>375</v>
      </c>
      <c r="L50" s="365" t="s">
        <v>400</v>
      </c>
      <c r="M50" s="365"/>
      <c r="R50" s="374"/>
      <c r="S50" s="374"/>
      <c r="T50" s="374"/>
      <c r="U50" s="374"/>
      <c r="V50" s="374"/>
    </row>
    <row r="51" spans="1:22" s="365" customFormat="1" ht="21" customHeight="1" x14ac:dyDescent="0.25">
      <c r="B51" s="623" t="s">
        <v>468</v>
      </c>
      <c r="C51" s="534"/>
      <c r="D51" s="534"/>
      <c r="E51" s="534"/>
      <c r="F51" s="373"/>
      <c r="G51" s="367"/>
      <c r="H51" s="493"/>
      <c r="I51" s="368"/>
      <c r="J51" s="369"/>
      <c r="M51" s="589"/>
      <c r="R51" s="353"/>
      <c r="S51" s="353"/>
      <c r="T51" s="353"/>
      <c r="U51" s="353"/>
      <c r="V51" s="353"/>
    </row>
    <row r="52" spans="1:22" s="370" customFormat="1" ht="21" customHeight="1" x14ac:dyDescent="0.25">
      <c r="A52" s="365"/>
      <c r="B52" s="620" t="s">
        <v>372</v>
      </c>
      <c r="C52" s="534"/>
      <c r="D52" s="534"/>
      <c r="E52" s="534"/>
      <c r="F52" s="373">
        <f>SUM(F53:F56)</f>
        <v>65410500</v>
      </c>
      <c r="G52" s="367"/>
      <c r="H52" s="493"/>
      <c r="I52" s="368"/>
      <c r="J52" s="369"/>
      <c r="K52" s="365"/>
      <c r="L52" s="365"/>
      <c r="M52" s="365"/>
      <c r="R52" s="374"/>
      <c r="S52" s="374"/>
      <c r="T52" s="374"/>
      <c r="U52" s="374"/>
      <c r="V52" s="374"/>
    </row>
    <row r="53" spans="1:22" s="634" customFormat="1" ht="21" customHeight="1" x14ac:dyDescent="0.25">
      <c r="A53" s="624"/>
      <c r="B53" s="625">
        <v>110000119674</v>
      </c>
      <c r="C53" s="626">
        <v>44740</v>
      </c>
      <c r="D53" s="627">
        <v>44761</v>
      </c>
      <c r="E53" s="628" t="s">
        <v>469</v>
      </c>
      <c r="F53" s="629">
        <v>3000000</v>
      </c>
      <c r="G53" s="630">
        <v>0.55000000000000004</v>
      </c>
      <c r="H53" s="493">
        <f t="shared" si="0"/>
        <v>16500</v>
      </c>
      <c r="I53" s="631">
        <f>H57/F52</f>
        <v>0.18720000000000001</v>
      </c>
      <c r="J53" s="630">
        <f>H57/F52</f>
        <v>0.18718000000000001</v>
      </c>
      <c r="K53" s="632"/>
      <c r="L53" s="633"/>
      <c r="M53" s="624"/>
      <c r="R53" s="635"/>
      <c r="S53" s="635"/>
      <c r="T53" s="635"/>
      <c r="U53" s="635"/>
      <c r="V53" s="635"/>
    </row>
    <row r="54" spans="1:22" s="634" customFormat="1" ht="21" customHeight="1" x14ac:dyDescent="0.25">
      <c r="A54" s="624"/>
      <c r="B54" s="636">
        <v>110000081285</v>
      </c>
      <c r="C54" s="626">
        <v>44719</v>
      </c>
      <c r="D54" s="627">
        <v>44809</v>
      </c>
      <c r="E54" s="628" t="s">
        <v>470</v>
      </c>
      <c r="F54" s="629">
        <v>40000000</v>
      </c>
      <c r="G54" s="630">
        <v>0.75</v>
      </c>
      <c r="H54" s="493">
        <f t="shared" si="0"/>
        <v>300000</v>
      </c>
      <c r="I54" s="637"/>
      <c r="J54" s="630" t="s">
        <v>387</v>
      </c>
      <c r="K54" s="632"/>
      <c r="L54" s="633"/>
      <c r="M54" s="624"/>
      <c r="R54" s="635"/>
      <c r="S54" s="635"/>
      <c r="T54" s="635"/>
      <c r="U54" s="635"/>
      <c r="V54" s="635"/>
    </row>
    <row r="55" spans="1:22" s="634" customFormat="1" ht="21" customHeight="1" x14ac:dyDescent="0.25">
      <c r="A55" s="624"/>
      <c r="B55" s="636">
        <v>110000081294</v>
      </c>
      <c r="C55" s="626">
        <v>44719</v>
      </c>
      <c r="D55" s="627">
        <v>44809</v>
      </c>
      <c r="E55" s="628" t="s">
        <v>470</v>
      </c>
      <c r="F55" s="629">
        <v>22000000</v>
      </c>
      <c r="G55" s="630">
        <v>0.75</v>
      </c>
      <c r="H55" s="493">
        <f t="shared" si="0"/>
        <v>165000</v>
      </c>
      <c r="I55" s="637"/>
      <c r="J55" s="630"/>
      <c r="K55" s="632"/>
      <c r="L55" s="633"/>
      <c r="M55" s="624"/>
      <c r="R55" s="635"/>
      <c r="S55" s="635"/>
      <c r="T55" s="635"/>
      <c r="U55" s="635"/>
      <c r="V55" s="635"/>
    </row>
    <row r="56" spans="1:22" s="634" customFormat="1" ht="21" customHeight="1" x14ac:dyDescent="0.25">
      <c r="A56" s="624"/>
      <c r="B56" s="636">
        <v>110000081300</v>
      </c>
      <c r="C56" s="626">
        <v>44719</v>
      </c>
      <c r="D56" s="627">
        <v>44809</v>
      </c>
      <c r="E56" s="628" t="s">
        <v>470</v>
      </c>
      <c r="F56" s="629">
        <v>410500</v>
      </c>
      <c r="G56" s="630">
        <v>0.75</v>
      </c>
      <c r="H56" s="493">
        <f t="shared" si="0"/>
        <v>3078.75</v>
      </c>
      <c r="I56" s="637"/>
      <c r="J56" s="630"/>
      <c r="K56" s="632"/>
      <c r="L56" s="633"/>
      <c r="M56" s="624"/>
      <c r="R56" s="635"/>
      <c r="S56" s="635"/>
      <c r="T56" s="635"/>
      <c r="U56" s="635"/>
      <c r="V56" s="635"/>
    </row>
    <row r="57" spans="1:22" s="365" customFormat="1" ht="21" customHeight="1" x14ac:dyDescent="0.25">
      <c r="A57" s="638"/>
      <c r="B57" s="639" t="s">
        <v>401</v>
      </c>
      <c r="C57" s="528"/>
      <c r="D57" s="528"/>
      <c r="E57" s="534"/>
      <c r="F57" s="373">
        <f>SUM(F58:F80)</f>
        <v>510830418.89999998</v>
      </c>
      <c r="G57" s="367"/>
      <c r="H57" s="493">
        <f>SUM(H43:H56)</f>
        <v>12243568.99</v>
      </c>
      <c r="I57" s="368"/>
      <c r="J57" s="369"/>
      <c r="R57" s="353"/>
      <c r="S57" s="353"/>
      <c r="T57" s="353"/>
      <c r="U57" s="353"/>
      <c r="V57" s="353"/>
    </row>
    <row r="58" spans="1:22" s="520" customFormat="1" ht="21" customHeight="1" x14ac:dyDescent="0.25">
      <c r="B58" s="511" t="s">
        <v>471</v>
      </c>
      <c r="C58" s="400">
        <v>43318</v>
      </c>
      <c r="D58" s="400">
        <v>44778</v>
      </c>
      <c r="E58" s="410" t="s">
        <v>408</v>
      </c>
      <c r="F58" s="411">
        <v>37500000</v>
      </c>
      <c r="G58" s="404">
        <v>3.875</v>
      </c>
      <c r="H58" s="493">
        <f t="shared" si="0"/>
        <v>1453125</v>
      </c>
      <c r="I58" s="496">
        <f>H81/F57</f>
        <v>4.1099999999999998E-2</v>
      </c>
      <c r="J58" s="404">
        <f>H81/F57</f>
        <v>4.1084000000000002E-2</v>
      </c>
      <c r="K58" s="505" t="s">
        <v>375</v>
      </c>
      <c r="L58" s="365" t="s">
        <v>472</v>
      </c>
      <c r="R58" s="524"/>
      <c r="S58" s="524"/>
      <c r="T58" s="524"/>
      <c r="U58" s="524"/>
      <c r="V58" s="524"/>
    </row>
    <row r="59" spans="1:22" s="370" customFormat="1" ht="21" customHeight="1" x14ac:dyDescent="0.25">
      <c r="A59" s="365"/>
      <c r="B59" s="511" t="s">
        <v>473</v>
      </c>
      <c r="C59" s="400">
        <v>42227</v>
      </c>
      <c r="D59" s="400">
        <v>44782</v>
      </c>
      <c r="E59" s="410" t="s">
        <v>381</v>
      </c>
      <c r="F59" s="411">
        <v>7922658</v>
      </c>
      <c r="G59" s="412">
        <v>4.8125</v>
      </c>
      <c r="H59" s="493">
        <f t="shared" si="0"/>
        <v>381277.92</v>
      </c>
      <c r="I59" s="523"/>
      <c r="J59" s="412" t="s">
        <v>387</v>
      </c>
      <c r="K59" s="505" t="s">
        <v>375</v>
      </c>
      <c r="L59" s="365" t="s">
        <v>440</v>
      </c>
      <c r="M59" s="365"/>
      <c r="R59" s="374"/>
      <c r="S59" s="374"/>
      <c r="T59" s="374"/>
      <c r="U59" s="374"/>
      <c r="V59" s="374"/>
    </row>
    <row r="60" spans="1:22" s="365" customFormat="1" ht="21" customHeight="1" x14ac:dyDescent="0.25">
      <c r="A60" s="365" t="s">
        <v>444</v>
      </c>
      <c r="B60" s="511" t="s">
        <v>474</v>
      </c>
      <c r="C60" s="400">
        <v>42431</v>
      </c>
      <c r="D60" s="400">
        <v>44986</v>
      </c>
      <c r="E60" s="410" t="s">
        <v>381</v>
      </c>
      <c r="F60" s="411">
        <v>501737.97</v>
      </c>
      <c r="G60" s="412">
        <v>4.8125</v>
      </c>
      <c r="H60" s="493">
        <f t="shared" si="0"/>
        <v>24146.14</v>
      </c>
      <c r="I60" s="523"/>
      <c r="J60" s="412"/>
      <c r="K60" s="505" t="s">
        <v>375</v>
      </c>
      <c r="R60" s="353"/>
      <c r="S60" s="353"/>
      <c r="T60" s="353"/>
      <c r="U60" s="353"/>
      <c r="V60" s="353"/>
    </row>
    <row r="61" spans="1:22" s="370" customFormat="1" ht="21" customHeight="1" x14ac:dyDescent="0.25">
      <c r="A61" s="365"/>
      <c r="B61" s="511" t="s">
        <v>475</v>
      </c>
      <c r="C61" s="400">
        <v>42599</v>
      </c>
      <c r="D61" s="400">
        <v>45155</v>
      </c>
      <c r="E61" s="516" t="s">
        <v>381</v>
      </c>
      <c r="F61" s="411">
        <v>22277530.09</v>
      </c>
      <c r="G61" s="412">
        <v>4.8</v>
      </c>
      <c r="H61" s="493">
        <f t="shared" si="0"/>
        <v>1069321.44</v>
      </c>
      <c r="I61" s="523"/>
      <c r="J61" s="412"/>
      <c r="K61" s="505" t="s">
        <v>375</v>
      </c>
      <c r="L61" s="365"/>
      <c r="M61" s="365"/>
      <c r="R61" s="374"/>
      <c r="S61" s="374"/>
      <c r="T61" s="374"/>
      <c r="U61" s="374"/>
      <c r="V61" s="374"/>
    </row>
    <row r="62" spans="1:22" s="641" customFormat="1" ht="21" customHeight="1" x14ac:dyDescent="0.25">
      <c r="A62" s="640"/>
      <c r="B62" s="511" t="s">
        <v>476</v>
      </c>
      <c r="C62" s="400">
        <v>44075</v>
      </c>
      <c r="D62" s="400">
        <v>45168</v>
      </c>
      <c r="E62" s="410" t="s">
        <v>477</v>
      </c>
      <c r="F62" s="411">
        <v>333183.59999999998</v>
      </c>
      <c r="G62" s="412">
        <v>3</v>
      </c>
      <c r="H62" s="493">
        <f t="shared" si="0"/>
        <v>9995.51</v>
      </c>
      <c r="I62" s="523"/>
      <c r="J62" s="412"/>
      <c r="K62" s="505" t="s">
        <v>375</v>
      </c>
      <c r="L62" s="640"/>
      <c r="M62" s="640"/>
      <c r="R62" s="642"/>
      <c r="S62" s="642"/>
      <c r="T62" s="642"/>
      <c r="U62" s="642"/>
      <c r="V62" s="642"/>
    </row>
    <row r="63" spans="1:22" s="520" customFormat="1" ht="21" customHeight="1" x14ac:dyDescent="0.25">
      <c r="B63" s="415" t="s">
        <v>478</v>
      </c>
      <c r="C63" s="401">
        <v>42277</v>
      </c>
      <c r="D63" s="401">
        <v>45197</v>
      </c>
      <c r="E63" s="402" t="s">
        <v>383</v>
      </c>
      <c r="F63" s="403">
        <v>19194586.809999999</v>
      </c>
      <c r="G63" s="404">
        <v>4.9000000000000004</v>
      </c>
      <c r="H63" s="493">
        <f t="shared" si="0"/>
        <v>940534.75</v>
      </c>
      <c r="I63" s="497"/>
      <c r="J63" s="404"/>
      <c r="K63" s="505" t="s">
        <v>375</v>
      </c>
      <c r="L63" s="365"/>
      <c r="M63" s="337"/>
      <c r="R63" s="524"/>
      <c r="S63" s="524"/>
      <c r="T63" s="524"/>
      <c r="U63" s="524"/>
      <c r="V63" s="524"/>
    </row>
    <row r="64" spans="1:22" s="365" customFormat="1" ht="21" customHeight="1" x14ac:dyDescent="0.25">
      <c r="B64" s="511" t="s">
        <v>415</v>
      </c>
      <c r="C64" s="400">
        <v>43318</v>
      </c>
      <c r="D64" s="400">
        <v>45509</v>
      </c>
      <c r="E64" s="410" t="s">
        <v>379</v>
      </c>
      <c r="F64" s="411">
        <v>36000000</v>
      </c>
      <c r="G64" s="404">
        <v>4.875</v>
      </c>
      <c r="H64" s="493">
        <f t="shared" si="0"/>
        <v>1755000</v>
      </c>
      <c r="I64" s="497"/>
      <c r="J64" s="404"/>
      <c r="K64" s="505" t="s">
        <v>375</v>
      </c>
      <c r="L64" s="365" t="s">
        <v>472</v>
      </c>
      <c r="R64" s="353"/>
      <c r="S64" s="353"/>
      <c r="T64" s="353"/>
      <c r="U64" s="353"/>
      <c r="V64" s="353"/>
    </row>
    <row r="65" spans="1:22" s="520" customFormat="1" ht="21" customHeight="1" x14ac:dyDescent="0.25">
      <c r="B65" s="511" t="s">
        <v>479</v>
      </c>
      <c r="C65" s="400">
        <v>43340</v>
      </c>
      <c r="D65" s="406">
        <v>45530</v>
      </c>
      <c r="E65" s="516" t="s">
        <v>379</v>
      </c>
      <c r="F65" s="521">
        <v>10971068.67</v>
      </c>
      <c r="G65" s="412">
        <v>4.875</v>
      </c>
      <c r="H65" s="493">
        <f t="shared" si="0"/>
        <v>534839.6</v>
      </c>
      <c r="I65" s="523"/>
      <c r="J65" s="412"/>
      <c r="K65" s="505" t="s">
        <v>375</v>
      </c>
      <c r="L65" s="365" t="s">
        <v>480</v>
      </c>
      <c r="Q65" s="524"/>
      <c r="R65" s="524"/>
      <c r="S65" s="524"/>
      <c r="T65" s="524"/>
      <c r="U65" s="524"/>
    </row>
    <row r="66" spans="1:22" s="370" customFormat="1" ht="21" customHeight="1" x14ac:dyDescent="0.25">
      <c r="A66" s="365"/>
      <c r="B66" s="511" t="s">
        <v>481</v>
      </c>
      <c r="C66" s="400">
        <v>43017</v>
      </c>
      <c r="D66" s="406">
        <v>45574</v>
      </c>
      <c r="E66" s="410" t="s">
        <v>381</v>
      </c>
      <c r="F66" s="411">
        <v>15764183.26</v>
      </c>
      <c r="G66" s="404">
        <v>4.5</v>
      </c>
      <c r="H66" s="493">
        <f t="shared" si="0"/>
        <v>709388.25</v>
      </c>
      <c r="I66" s="497"/>
      <c r="J66" s="404"/>
      <c r="K66" s="505" t="s">
        <v>375</v>
      </c>
      <c r="L66" s="365"/>
      <c r="M66" s="365"/>
      <c r="R66" s="374"/>
      <c r="S66" s="374"/>
      <c r="T66" s="374"/>
      <c r="U66" s="374"/>
      <c r="V66" s="374"/>
    </row>
    <row r="67" spans="1:22" s="370" customFormat="1" ht="21" customHeight="1" x14ac:dyDescent="0.25">
      <c r="A67" s="365"/>
      <c r="B67" s="511" t="s">
        <v>418</v>
      </c>
      <c r="C67" s="400">
        <v>43815</v>
      </c>
      <c r="D67" s="406">
        <v>45642</v>
      </c>
      <c r="E67" s="410" t="s">
        <v>376</v>
      </c>
      <c r="F67" s="411">
        <v>22144243.620000001</v>
      </c>
      <c r="G67" s="404">
        <v>4</v>
      </c>
      <c r="H67" s="493">
        <f t="shared" si="0"/>
        <v>885769.74</v>
      </c>
      <c r="I67" s="497"/>
      <c r="J67" s="404"/>
      <c r="K67" s="505" t="s">
        <v>375</v>
      </c>
      <c r="L67" s="365" t="s">
        <v>409</v>
      </c>
      <c r="M67" s="365"/>
      <c r="R67" s="374"/>
      <c r="S67" s="374"/>
      <c r="T67" s="374"/>
      <c r="U67" s="374"/>
      <c r="V67" s="374"/>
    </row>
    <row r="68" spans="1:22" s="370" customFormat="1" ht="21" customHeight="1" x14ac:dyDescent="0.25">
      <c r="A68" s="365"/>
      <c r="B68" s="511" t="s">
        <v>482</v>
      </c>
      <c r="C68" s="400">
        <v>43511</v>
      </c>
      <c r="D68" s="406">
        <v>45702</v>
      </c>
      <c r="E68" s="410" t="s">
        <v>379</v>
      </c>
      <c r="F68" s="411">
        <v>1181712.93</v>
      </c>
      <c r="G68" s="404">
        <v>5</v>
      </c>
      <c r="H68" s="493">
        <f t="shared" si="0"/>
        <v>59085.65</v>
      </c>
      <c r="I68" s="497"/>
      <c r="J68" s="404"/>
      <c r="K68" s="505" t="s">
        <v>375</v>
      </c>
      <c r="L68" s="365"/>
      <c r="M68" s="365"/>
      <c r="R68" s="374"/>
      <c r="S68" s="374"/>
      <c r="T68" s="374"/>
      <c r="U68" s="374"/>
      <c r="V68" s="374"/>
    </row>
    <row r="69" spans="1:22" s="370" customFormat="1" ht="21" customHeight="1" x14ac:dyDescent="0.25">
      <c r="A69" s="365"/>
      <c r="B69" s="511" t="s">
        <v>483</v>
      </c>
      <c r="C69" s="400">
        <v>43403</v>
      </c>
      <c r="D69" s="406">
        <v>45960</v>
      </c>
      <c r="E69" s="410" t="s">
        <v>381</v>
      </c>
      <c r="F69" s="411">
        <v>33443142.440000001</v>
      </c>
      <c r="G69" s="404">
        <v>5</v>
      </c>
      <c r="H69" s="493">
        <f t="shared" si="0"/>
        <v>1672157.12</v>
      </c>
      <c r="I69" s="497"/>
      <c r="J69" s="404"/>
      <c r="K69" s="505" t="s">
        <v>375</v>
      </c>
      <c r="L69" s="365"/>
      <c r="M69" s="365"/>
      <c r="R69" s="374"/>
      <c r="S69" s="374"/>
      <c r="T69" s="374"/>
      <c r="U69" s="374"/>
      <c r="V69" s="374"/>
    </row>
    <row r="70" spans="1:22" s="520" customFormat="1" ht="21" customHeight="1" x14ac:dyDescent="0.25">
      <c r="B70" s="643" t="s">
        <v>484</v>
      </c>
      <c r="C70" s="607">
        <v>43434</v>
      </c>
      <c r="D70" s="500">
        <v>45988</v>
      </c>
      <c r="E70" s="410" t="s">
        <v>381</v>
      </c>
      <c r="F70" s="411">
        <v>35450000</v>
      </c>
      <c r="G70" s="412">
        <v>5.125</v>
      </c>
      <c r="H70" s="493">
        <f t="shared" si="0"/>
        <v>1816812.5</v>
      </c>
      <c r="I70" s="523"/>
      <c r="J70" s="412"/>
      <c r="K70" s="505" t="s">
        <v>375</v>
      </c>
      <c r="L70" s="365"/>
      <c r="R70" s="524"/>
      <c r="S70" s="524"/>
      <c r="T70" s="524"/>
      <c r="U70" s="524"/>
      <c r="V70" s="524"/>
    </row>
    <row r="71" spans="1:22" s="520" customFormat="1" ht="21" customHeight="1" x14ac:dyDescent="0.25">
      <c r="B71" s="511" t="s">
        <v>485</v>
      </c>
      <c r="C71" s="400">
        <v>43815</v>
      </c>
      <c r="D71" s="406">
        <v>46006</v>
      </c>
      <c r="E71" s="410" t="s">
        <v>379</v>
      </c>
      <c r="F71" s="411">
        <v>25000000</v>
      </c>
      <c r="G71" s="412">
        <v>4.125</v>
      </c>
      <c r="H71" s="493">
        <f t="shared" si="0"/>
        <v>1031250</v>
      </c>
      <c r="I71" s="523"/>
      <c r="J71" s="412"/>
      <c r="K71" s="505" t="s">
        <v>375</v>
      </c>
      <c r="L71" s="365" t="s">
        <v>409</v>
      </c>
      <c r="R71" s="524"/>
      <c r="S71" s="524"/>
      <c r="T71" s="524"/>
      <c r="U71" s="524"/>
      <c r="V71" s="524"/>
    </row>
    <row r="72" spans="1:22" s="520" customFormat="1" ht="21" customHeight="1" x14ac:dyDescent="0.25">
      <c r="B72" s="511" t="s">
        <v>486</v>
      </c>
      <c r="C72" s="400">
        <v>43452</v>
      </c>
      <c r="D72" s="400">
        <v>46007</v>
      </c>
      <c r="E72" s="410" t="s">
        <v>381</v>
      </c>
      <c r="F72" s="411">
        <v>12389162.4</v>
      </c>
      <c r="G72" s="412">
        <v>5.125</v>
      </c>
      <c r="H72" s="493">
        <f t="shared" si="0"/>
        <v>634944.56999999995</v>
      </c>
      <c r="I72" s="523"/>
      <c r="J72" s="412"/>
      <c r="K72" s="505" t="s">
        <v>375</v>
      </c>
      <c r="L72" s="405" t="s">
        <v>453</v>
      </c>
      <c r="R72" s="524"/>
      <c r="S72" s="524"/>
      <c r="T72" s="524"/>
      <c r="U72" s="524"/>
      <c r="V72" s="524"/>
    </row>
    <row r="73" spans="1:22" s="520" customFormat="1" ht="21" customHeight="1" x14ac:dyDescent="0.25">
      <c r="B73" s="644" t="s">
        <v>487</v>
      </c>
      <c r="C73" s="645">
        <v>44075</v>
      </c>
      <c r="D73" s="646">
        <v>46264</v>
      </c>
      <c r="E73" s="647" t="s">
        <v>379</v>
      </c>
      <c r="F73" s="648">
        <v>50000000</v>
      </c>
      <c r="G73" s="649">
        <v>3.5</v>
      </c>
      <c r="H73" s="493">
        <f t="shared" si="0"/>
        <v>1750000</v>
      </c>
      <c r="I73" s="650"/>
      <c r="J73" s="649"/>
      <c r="K73" s="505" t="s">
        <v>375</v>
      </c>
      <c r="L73" s="365"/>
      <c r="R73" s="524"/>
      <c r="S73" s="524"/>
      <c r="T73" s="524"/>
      <c r="U73" s="524"/>
      <c r="V73" s="524"/>
    </row>
    <row r="74" spans="1:22" s="520" customFormat="1" ht="21" customHeight="1" x14ac:dyDescent="0.25">
      <c r="B74" s="511" t="s">
        <v>454</v>
      </c>
      <c r="C74" s="400">
        <v>43815</v>
      </c>
      <c r="D74" s="406">
        <v>46370</v>
      </c>
      <c r="E74" s="410" t="s">
        <v>381</v>
      </c>
      <c r="F74" s="411">
        <v>20381174.690000001</v>
      </c>
      <c r="G74" s="412">
        <v>4.25</v>
      </c>
      <c r="H74" s="493">
        <f t="shared" si="0"/>
        <v>866199.92</v>
      </c>
      <c r="I74" s="523"/>
      <c r="J74" s="412"/>
      <c r="K74" s="505" t="s">
        <v>375</v>
      </c>
      <c r="L74" s="365" t="s">
        <v>409</v>
      </c>
      <c r="R74" s="524"/>
      <c r="S74" s="524"/>
      <c r="T74" s="524"/>
      <c r="U74" s="524"/>
      <c r="V74" s="524"/>
    </row>
    <row r="75" spans="1:22" s="609" customFormat="1" ht="21" customHeight="1" x14ac:dyDescent="0.25">
      <c r="B75" s="511" t="s">
        <v>488</v>
      </c>
      <c r="C75" s="400">
        <v>44179</v>
      </c>
      <c r="D75" s="406">
        <v>46370</v>
      </c>
      <c r="E75" s="410" t="s">
        <v>379</v>
      </c>
      <c r="F75" s="411">
        <v>50000000</v>
      </c>
      <c r="G75" s="412">
        <v>3</v>
      </c>
      <c r="H75" s="493">
        <f t="shared" si="0"/>
        <v>1500000</v>
      </c>
      <c r="I75" s="523"/>
      <c r="J75" s="412"/>
      <c r="K75" s="505" t="s">
        <v>375</v>
      </c>
      <c r="L75" s="640" t="s">
        <v>489</v>
      </c>
      <c r="R75" s="611"/>
      <c r="S75" s="611"/>
      <c r="T75" s="611"/>
      <c r="U75" s="611"/>
      <c r="V75" s="611"/>
    </row>
    <row r="76" spans="1:22" s="609" customFormat="1" ht="21" customHeight="1" x14ac:dyDescent="0.25">
      <c r="B76" s="644" t="s">
        <v>490</v>
      </c>
      <c r="C76" s="645">
        <v>44075</v>
      </c>
      <c r="D76" s="646">
        <v>46629</v>
      </c>
      <c r="E76" s="647" t="s">
        <v>381</v>
      </c>
      <c r="F76" s="648">
        <v>24876034.420000002</v>
      </c>
      <c r="G76" s="649">
        <v>3.53</v>
      </c>
      <c r="H76" s="493">
        <f t="shared" si="0"/>
        <v>878124.02</v>
      </c>
      <c r="I76" s="650"/>
      <c r="J76" s="649"/>
      <c r="K76" s="505" t="s">
        <v>375</v>
      </c>
      <c r="L76" s="640"/>
      <c r="R76" s="611"/>
      <c r="S76" s="611"/>
      <c r="T76" s="611"/>
      <c r="U76" s="611"/>
      <c r="V76" s="611"/>
    </row>
    <row r="77" spans="1:22" s="609" customFormat="1" ht="21" customHeight="1" x14ac:dyDescent="0.25">
      <c r="B77" s="614" t="s">
        <v>491</v>
      </c>
      <c r="C77" s="615">
        <v>44726</v>
      </c>
      <c r="D77" s="651">
        <v>47281</v>
      </c>
      <c r="E77" s="616" t="s">
        <v>381</v>
      </c>
      <c r="F77" s="566">
        <v>29000000</v>
      </c>
      <c r="G77" s="564">
        <v>3.95</v>
      </c>
      <c r="H77" s="493">
        <f t="shared" ref="H77:H84" si="1">F77*G77/100</f>
        <v>1145500</v>
      </c>
      <c r="I77" s="617"/>
      <c r="J77" s="564"/>
      <c r="K77" s="618" t="s">
        <v>437</v>
      </c>
      <c r="L77" s="640"/>
      <c r="R77" s="611"/>
      <c r="S77" s="611"/>
      <c r="T77" s="611"/>
      <c r="U77" s="611"/>
      <c r="V77" s="611"/>
    </row>
    <row r="78" spans="1:22" s="609" customFormat="1" ht="21" customHeight="1" x14ac:dyDescent="0.25">
      <c r="B78" s="644" t="s">
        <v>492</v>
      </c>
      <c r="C78" s="645">
        <v>44260</v>
      </c>
      <c r="D78" s="646">
        <v>47912</v>
      </c>
      <c r="E78" s="647" t="s">
        <v>493</v>
      </c>
      <c r="F78" s="648">
        <v>25000000</v>
      </c>
      <c r="G78" s="649">
        <v>3.125</v>
      </c>
      <c r="H78" s="493">
        <f t="shared" si="1"/>
        <v>781250</v>
      </c>
      <c r="I78" s="650"/>
      <c r="J78" s="649"/>
      <c r="K78" s="618" t="s">
        <v>437</v>
      </c>
      <c r="L78" s="640"/>
      <c r="R78" s="611"/>
      <c r="S78" s="611"/>
      <c r="T78" s="611"/>
      <c r="U78" s="611"/>
      <c r="V78" s="611"/>
    </row>
    <row r="79" spans="1:22" s="609" customFormat="1" ht="21" customHeight="1" x14ac:dyDescent="0.25">
      <c r="B79" s="614" t="s">
        <v>465</v>
      </c>
      <c r="C79" s="615">
        <v>44676</v>
      </c>
      <c r="D79" s="651">
        <v>47961</v>
      </c>
      <c r="E79" s="616" t="s">
        <v>462</v>
      </c>
      <c r="F79" s="566">
        <v>11500000</v>
      </c>
      <c r="G79" s="564">
        <v>3.375</v>
      </c>
      <c r="H79" s="493">
        <f t="shared" si="1"/>
        <v>388125</v>
      </c>
      <c r="I79" s="617"/>
      <c r="J79" s="564"/>
      <c r="K79" s="618" t="s">
        <v>437</v>
      </c>
      <c r="L79" s="505" t="s">
        <v>459</v>
      </c>
      <c r="R79" s="611"/>
      <c r="S79" s="611"/>
      <c r="T79" s="611"/>
      <c r="U79" s="611"/>
      <c r="V79" s="611"/>
    </row>
    <row r="80" spans="1:22" s="520" customFormat="1" ht="21" customHeight="1" x14ac:dyDescent="0.25">
      <c r="B80" s="614" t="s">
        <v>494</v>
      </c>
      <c r="C80" s="615">
        <v>44676</v>
      </c>
      <c r="D80" s="651">
        <v>48326</v>
      </c>
      <c r="E80" s="616" t="s">
        <v>493</v>
      </c>
      <c r="F80" s="566">
        <v>20000000</v>
      </c>
      <c r="G80" s="564">
        <v>3.5</v>
      </c>
      <c r="H80" s="493">
        <f t="shared" si="1"/>
        <v>700000</v>
      </c>
      <c r="I80" s="617"/>
      <c r="J80" s="564"/>
      <c r="K80" s="618" t="s">
        <v>437</v>
      </c>
      <c r="L80" s="505" t="s">
        <v>459</v>
      </c>
      <c r="R80" s="524"/>
      <c r="S80" s="524"/>
      <c r="T80" s="524"/>
      <c r="U80" s="524"/>
      <c r="V80" s="524"/>
    </row>
    <row r="81" spans="1:22" s="365" customFormat="1" ht="21" customHeight="1" x14ac:dyDescent="0.25">
      <c r="B81" s="639" t="s">
        <v>423</v>
      </c>
      <c r="C81" s="528"/>
      <c r="D81" s="528"/>
      <c r="E81" s="534"/>
      <c r="F81" s="373">
        <f>SUM(F82:F82)</f>
        <v>73281593.010000005</v>
      </c>
      <c r="G81" s="367"/>
      <c r="H81" s="493">
        <f>SUM(H58:H80)</f>
        <v>20986847.129999999</v>
      </c>
      <c r="I81" s="368"/>
      <c r="J81" s="369"/>
      <c r="R81" s="353"/>
      <c r="S81" s="353"/>
      <c r="T81" s="353"/>
      <c r="U81" s="353"/>
      <c r="V81" s="353"/>
    </row>
    <row r="82" spans="1:22" s="365" customFormat="1" ht="21" customHeight="1" x14ac:dyDescent="0.25">
      <c r="A82" s="519"/>
      <c r="B82" s="414">
        <v>50401687976</v>
      </c>
      <c r="C82" s="407">
        <v>42333</v>
      </c>
      <c r="D82" s="407">
        <v>45253</v>
      </c>
      <c r="E82" s="402" t="s">
        <v>383</v>
      </c>
      <c r="F82" s="403">
        <v>73281593.010000005</v>
      </c>
      <c r="G82" s="404">
        <v>5.4</v>
      </c>
      <c r="H82" s="493">
        <f t="shared" si="1"/>
        <v>3957206.02</v>
      </c>
      <c r="I82" s="497">
        <v>5.4</v>
      </c>
      <c r="J82" s="404">
        <f>H82+H84</f>
        <v>4514706.0199999996</v>
      </c>
      <c r="K82" s="505" t="s">
        <v>375</v>
      </c>
      <c r="R82" s="353"/>
      <c r="S82" s="353"/>
      <c r="T82" s="353"/>
      <c r="U82" s="353"/>
      <c r="V82" s="353"/>
    </row>
    <row r="83" spans="1:22" s="365" customFormat="1" ht="21" customHeight="1" x14ac:dyDescent="0.25">
      <c r="B83" s="639" t="s">
        <v>495</v>
      </c>
      <c r="C83" s="528"/>
      <c r="D83" s="528"/>
      <c r="E83" s="534"/>
      <c r="F83" s="373">
        <f>SUM(F84)</f>
        <v>11150000</v>
      </c>
      <c r="G83" s="367"/>
      <c r="H83" s="493"/>
      <c r="I83" s="368"/>
      <c r="J83" s="369">
        <f>F82+F84</f>
        <v>84431593.010000005</v>
      </c>
      <c r="M83" s="589"/>
      <c r="R83" s="353"/>
      <c r="S83" s="353"/>
      <c r="T83" s="353"/>
      <c r="U83" s="353"/>
      <c r="V83" s="353"/>
    </row>
    <row r="84" spans="1:22" s="365" customFormat="1" ht="21" customHeight="1" x14ac:dyDescent="0.25">
      <c r="B84" s="414">
        <v>5000235279</v>
      </c>
      <c r="C84" s="401">
        <v>42193</v>
      </c>
      <c r="D84" s="401">
        <v>44750</v>
      </c>
      <c r="E84" s="402" t="s">
        <v>381</v>
      </c>
      <c r="F84" s="403">
        <v>11150000</v>
      </c>
      <c r="G84" s="404">
        <v>5</v>
      </c>
      <c r="H84" s="493">
        <f t="shared" si="1"/>
        <v>557500</v>
      </c>
      <c r="I84" s="497">
        <v>5</v>
      </c>
      <c r="J84" s="665">
        <f>J82/J83</f>
        <v>5.347176E-2</v>
      </c>
      <c r="K84" s="505" t="s">
        <v>375</v>
      </c>
      <c r="M84" s="589"/>
      <c r="R84" s="353"/>
      <c r="S84" s="353"/>
      <c r="T84" s="353"/>
      <c r="U84" s="353"/>
      <c r="V84" s="353"/>
    </row>
    <row r="85" spans="1:22" s="365" customFormat="1" ht="21" customHeight="1" x14ac:dyDescent="0.25">
      <c r="B85" s="652"/>
      <c r="C85" s="653"/>
      <c r="D85" s="654"/>
      <c r="E85" s="654"/>
      <c r="F85" s="655"/>
      <c r="G85" s="656"/>
      <c r="H85" s="368"/>
      <c r="I85" s="368"/>
      <c r="J85" s="369"/>
      <c r="M85" s="589"/>
      <c r="R85" s="353"/>
      <c r="S85" s="353"/>
      <c r="T85" s="353"/>
      <c r="U85" s="353"/>
      <c r="V85" s="353"/>
    </row>
    <row r="86" spans="1:22" s="520" customFormat="1" ht="21" customHeight="1" x14ac:dyDescent="0.25">
      <c r="B86" s="437" t="str">
        <f>[9]SEGUROS!$B$51</f>
        <v xml:space="preserve">FUENTE: DEPTO DE TESORERIA - DNF </v>
      </c>
      <c r="C86" s="450"/>
      <c r="D86" s="657"/>
      <c r="E86" s="658"/>
      <c r="F86" s="659"/>
      <c r="G86" s="660"/>
      <c r="H86" s="661"/>
      <c r="I86" s="661">
        <f>F84+F82</f>
        <v>84431593.010000005</v>
      </c>
      <c r="J86" s="662"/>
      <c r="K86" s="365"/>
      <c r="L86" s="365"/>
      <c r="M86" s="337"/>
      <c r="R86" s="524"/>
      <c r="S86" s="524"/>
      <c r="T86" s="524"/>
      <c r="U86" s="524"/>
      <c r="V86" s="524"/>
    </row>
    <row r="87" spans="1:22" ht="21" customHeight="1" x14ac:dyDescent="0.35">
      <c r="B87" s="443">
        <f>'[9]VENC. '!$B$167</f>
        <v>44778</v>
      </c>
      <c r="C87" s="450"/>
      <c r="D87" s="663"/>
      <c r="E87" s="658"/>
      <c r="F87" s="659"/>
      <c r="G87" s="660"/>
      <c r="H87" s="661"/>
      <c r="I87" s="661"/>
      <c r="J87" s="662"/>
    </row>
    <row r="88" spans="1:22" ht="21" customHeight="1" x14ac:dyDescent="0.35">
      <c r="B88" s="448" t="str">
        <f>'[9]VENC. '!B$168</f>
        <v>Preparado por:    _______________________________________</v>
      </c>
      <c r="C88" s="449"/>
      <c r="D88" s="1644" t="str">
        <f>'[9]VENC. '!D$168</f>
        <v>Revisado por:      ___________________________________</v>
      </c>
      <c r="E88" s="1644"/>
      <c r="F88" s="1644"/>
      <c r="G88" s="1645"/>
      <c r="H88" s="435"/>
      <c r="I88" s="435"/>
      <c r="J88" s="450"/>
    </row>
    <row r="89" spans="1:22" ht="21" customHeight="1" x14ac:dyDescent="0.35">
      <c r="B89" s="1684" t="s">
        <v>496</v>
      </c>
      <c r="C89" s="1644"/>
      <c r="D89" s="1644" t="s">
        <v>497</v>
      </c>
      <c r="E89" s="1644"/>
      <c r="F89" s="1644"/>
      <c r="G89" s="1645"/>
      <c r="H89" s="435"/>
      <c r="I89" s="435"/>
      <c r="J89" s="450"/>
    </row>
    <row r="90" spans="1:22" ht="21" customHeight="1" x14ac:dyDescent="0.35">
      <c r="B90" s="1684" t="str">
        <f>'[9]VENC. '!B$170</f>
        <v>Analista Financiero II</v>
      </c>
      <c r="C90" s="1644"/>
      <c r="D90" s="1644" t="s">
        <v>498</v>
      </c>
      <c r="E90" s="1644"/>
      <c r="F90" s="1644"/>
      <c r="G90" s="1645"/>
      <c r="H90" s="435"/>
      <c r="I90" s="435"/>
      <c r="J90" s="450"/>
    </row>
    <row r="91" spans="1:22" ht="21" customHeight="1" x14ac:dyDescent="0.35">
      <c r="B91" s="576"/>
      <c r="C91" s="577"/>
      <c r="D91" s="577"/>
      <c r="E91" s="577"/>
      <c r="F91" s="577"/>
      <c r="G91" s="578"/>
      <c r="H91" s="664"/>
      <c r="I91" s="664"/>
      <c r="J91" s="449"/>
    </row>
    <row r="92" spans="1:22" ht="16.5" customHeight="1" x14ac:dyDescent="0.35">
      <c r="B92" s="459"/>
    </row>
  </sheetData>
  <mergeCells count="20">
    <mergeCell ref="B89:C89"/>
    <mergeCell ref="D89:G89"/>
    <mergeCell ref="B90:C90"/>
    <mergeCell ref="D90:G90"/>
    <mergeCell ref="F6:F7"/>
    <mergeCell ref="G6:G8"/>
    <mergeCell ref="K6:K8"/>
    <mergeCell ref="M7:R8"/>
    <mergeCell ref="B9:E9"/>
    <mergeCell ref="D88:G88"/>
    <mergeCell ref="N1:R1"/>
    <mergeCell ref="B2:G2"/>
    <mergeCell ref="B3:G3"/>
    <mergeCell ref="M3:R3"/>
    <mergeCell ref="B4:G4"/>
    <mergeCell ref="M4:M6"/>
    <mergeCell ref="B5:G5"/>
    <mergeCell ref="B6:B8"/>
    <mergeCell ref="C6:D7"/>
    <mergeCell ref="E6:E8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V59"/>
  <sheetViews>
    <sheetView workbookViewId="0">
      <selection activeCell="K54" sqref="K54"/>
    </sheetView>
  </sheetViews>
  <sheetFormatPr baseColWidth="10" defaultRowHeight="12.5" x14ac:dyDescent="0.25"/>
  <cols>
    <col min="8" max="8" width="11.453125" customWidth="1"/>
  </cols>
  <sheetData>
    <row r="1" spans="1:22" ht="15.5" x14ac:dyDescent="0.25">
      <c r="A1" s="331"/>
      <c r="B1" s="546"/>
      <c r="C1" s="547"/>
      <c r="D1" s="547"/>
      <c r="E1" s="547"/>
      <c r="F1" s="547"/>
      <c r="G1" s="334" t="s">
        <v>499</v>
      </c>
      <c r="H1" s="335"/>
      <c r="I1" s="336"/>
      <c r="J1" s="336"/>
      <c r="K1" s="671"/>
      <c r="L1" s="520"/>
      <c r="M1" s="338"/>
      <c r="N1" s="1654"/>
      <c r="O1" s="1654"/>
      <c r="P1" s="1654"/>
      <c r="Q1" s="1654"/>
      <c r="R1" s="1654"/>
      <c r="S1" s="340"/>
      <c r="T1" s="340"/>
      <c r="U1" s="340"/>
      <c r="V1" s="340"/>
    </row>
    <row r="2" spans="1:22" ht="15.5" x14ac:dyDescent="0.25">
      <c r="A2" s="341"/>
      <c r="B2" s="1655" t="s">
        <v>0</v>
      </c>
      <c r="C2" s="1656"/>
      <c r="D2" s="1656"/>
      <c r="E2" s="1656"/>
      <c r="F2" s="1656"/>
      <c r="G2" s="1657"/>
      <c r="H2" s="343"/>
      <c r="I2" s="344"/>
      <c r="J2" s="344"/>
      <c r="K2" s="405"/>
      <c r="L2" s="365"/>
      <c r="M2" s="1658"/>
      <c r="N2" s="1658"/>
      <c r="O2" s="1658"/>
      <c r="P2" s="1658"/>
      <c r="Q2" s="1658"/>
      <c r="R2" s="1658"/>
      <c r="S2" s="346"/>
      <c r="T2" s="346"/>
      <c r="U2" s="346"/>
      <c r="V2" s="346"/>
    </row>
    <row r="3" spans="1:22" ht="15.5" x14ac:dyDescent="0.25">
      <c r="A3" s="347"/>
      <c r="B3" s="1659" t="s">
        <v>426</v>
      </c>
      <c r="C3" s="1660"/>
      <c r="D3" s="1660"/>
      <c r="E3" s="1660"/>
      <c r="F3" s="1660"/>
      <c r="G3" s="1661"/>
      <c r="H3" s="348"/>
      <c r="I3" s="349"/>
      <c r="J3" s="349"/>
      <c r="K3" s="413"/>
      <c r="L3" s="668"/>
      <c r="M3" s="1662"/>
      <c r="N3" s="351"/>
      <c r="O3" s="351"/>
      <c r="P3" s="351"/>
      <c r="Q3" s="351"/>
      <c r="R3" s="351"/>
      <c r="S3" s="346"/>
      <c r="T3" s="346"/>
      <c r="U3" s="346"/>
      <c r="V3" s="347"/>
    </row>
    <row r="4" spans="1:22" ht="15.5" x14ac:dyDescent="0.25">
      <c r="A4" s="347"/>
      <c r="B4" s="1659" t="s">
        <v>500</v>
      </c>
      <c r="C4" s="1660"/>
      <c r="D4" s="1660"/>
      <c r="E4" s="1660"/>
      <c r="F4" s="1660"/>
      <c r="G4" s="1661"/>
      <c r="H4" s="348"/>
      <c r="I4" s="349"/>
      <c r="J4" s="349"/>
      <c r="K4" s="413"/>
      <c r="L4" s="668"/>
      <c r="M4" s="1662"/>
      <c r="N4" s="351"/>
      <c r="O4" s="351"/>
      <c r="P4" s="351"/>
      <c r="Q4" s="351"/>
      <c r="R4" s="351"/>
      <c r="S4" s="346"/>
      <c r="T4" s="346"/>
      <c r="U4" s="346"/>
      <c r="V4" s="347"/>
    </row>
    <row r="5" spans="1:22" ht="15.5" x14ac:dyDescent="0.25">
      <c r="A5" s="341"/>
      <c r="B5" s="1663" t="s">
        <v>501</v>
      </c>
      <c r="C5" s="1664"/>
      <c r="D5" s="1664"/>
      <c r="E5" s="1664"/>
      <c r="F5" s="1664"/>
      <c r="G5" s="1665"/>
      <c r="H5" s="343"/>
      <c r="I5" s="344"/>
      <c r="J5" s="344"/>
      <c r="K5" s="413"/>
      <c r="L5" s="589"/>
      <c r="M5" s="1662"/>
      <c r="N5" s="353"/>
      <c r="O5" s="353"/>
      <c r="P5" s="345"/>
      <c r="Q5" s="345"/>
      <c r="R5" s="354"/>
      <c r="S5" s="346"/>
      <c r="T5" s="346"/>
      <c r="U5" s="346"/>
      <c r="V5" s="346"/>
    </row>
    <row r="6" spans="1:22" ht="15.5" x14ac:dyDescent="0.35">
      <c r="A6" s="355"/>
      <c r="B6" s="1649" t="s">
        <v>362</v>
      </c>
      <c r="C6" s="1651" t="s">
        <v>363</v>
      </c>
      <c r="D6" s="1652"/>
      <c r="E6" s="1649" t="s">
        <v>364</v>
      </c>
      <c r="F6" s="1649" t="s">
        <v>365</v>
      </c>
      <c r="G6" s="1649" t="s">
        <v>366</v>
      </c>
      <c r="H6" s="356"/>
      <c r="I6" s="357"/>
      <c r="J6" s="357"/>
      <c r="K6" s="1653" t="s">
        <v>367</v>
      </c>
      <c r="L6" s="667"/>
      <c r="M6" s="1640"/>
      <c r="N6" s="1640"/>
      <c r="O6" s="1640"/>
      <c r="P6" s="1640"/>
      <c r="Q6" s="1640"/>
      <c r="R6" s="1640"/>
      <c r="S6" s="667"/>
      <c r="T6" s="667"/>
      <c r="U6" s="667"/>
      <c r="V6" s="667"/>
    </row>
    <row r="7" spans="1:22" ht="15.5" x14ac:dyDescent="0.35">
      <c r="A7" s="355"/>
      <c r="B7" s="1649"/>
      <c r="C7" s="1651"/>
      <c r="D7" s="1652"/>
      <c r="E7" s="1649"/>
      <c r="F7" s="1649"/>
      <c r="G7" s="1649"/>
      <c r="H7" s="356"/>
      <c r="I7" s="357"/>
      <c r="J7" s="357"/>
      <c r="K7" s="1649"/>
      <c r="L7" s="667"/>
      <c r="M7" s="1640"/>
      <c r="N7" s="1640"/>
      <c r="O7" s="1640"/>
      <c r="P7" s="1640"/>
      <c r="Q7" s="1640"/>
      <c r="R7" s="1640"/>
      <c r="S7" s="667"/>
      <c r="T7" s="667"/>
      <c r="U7" s="667"/>
      <c r="V7" s="667"/>
    </row>
    <row r="8" spans="1:22" ht="31" x14ac:dyDescent="0.35">
      <c r="A8" s="355"/>
      <c r="B8" s="1650"/>
      <c r="C8" s="360" t="s">
        <v>368</v>
      </c>
      <c r="D8" s="361" t="s">
        <v>369</v>
      </c>
      <c r="E8" s="1650"/>
      <c r="F8" s="362" t="s">
        <v>370</v>
      </c>
      <c r="G8" s="1650"/>
      <c r="H8" s="363"/>
      <c r="I8" s="364"/>
      <c r="J8" s="364"/>
      <c r="K8" s="1650"/>
      <c r="L8" s="353"/>
      <c r="M8" s="1691"/>
      <c r="N8" s="338"/>
      <c r="O8" s="338"/>
      <c r="P8" s="338"/>
      <c r="Q8" s="338"/>
      <c r="R8" s="338"/>
      <c r="S8" s="340"/>
      <c r="T8" s="667"/>
      <c r="U8" s="667"/>
      <c r="V8" s="667"/>
    </row>
    <row r="9" spans="1:22" ht="15.5" x14ac:dyDescent="0.25">
      <c r="A9" s="370"/>
      <c r="B9" s="677"/>
      <c r="C9" s="453"/>
      <c r="D9" s="678" t="s">
        <v>18</v>
      </c>
      <c r="E9" s="679"/>
      <c r="F9" s="680">
        <v>602391019.26999998</v>
      </c>
      <c r="G9" s="342"/>
      <c r="H9" s="343"/>
      <c r="I9" s="344"/>
      <c r="J9" s="344"/>
      <c r="K9" s="674"/>
      <c r="L9" s="353"/>
      <c r="M9" s="1691"/>
      <c r="N9" s="365"/>
      <c r="O9" s="365"/>
      <c r="P9" s="365"/>
      <c r="Q9" s="365"/>
      <c r="R9" s="353"/>
      <c r="S9" s="374"/>
      <c r="T9" s="374"/>
      <c r="U9" s="374"/>
      <c r="V9" s="374"/>
    </row>
    <row r="10" spans="1:22" ht="15.5" x14ac:dyDescent="0.35">
      <c r="A10" s="355"/>
      <c r="B10" s="1687" t="s">
        <v>502</v>
      </c>
      <c r="C10" s="1688"/>
      <c r="D10" s="1688"/>
      <c r="E10" s="1688"/>
      <c r="F10" s="681"/>
      <c r="G10" s="682"/>
      <c r="H10" s="458"/>
      <c r="I10" s="457"/>
      <c r="J10" s="457"/>
      <c r="K10" s="675"/>
      <c r="L10" s="669"/>
      <c r="M10" s="674"/>
      <c r="N10" s="670"/>
      <c r="O10" s="670"/>
      <c r="P10" s="670"/>
      <c r="Q10" s="670"/>
      <c r="R10" s="670"/>
      <c r="S10" s="359"/>
      <c r="T10" s="359"/>
      <c r="U10" s="359"/>
      <c r="V10" s="359"/>
    </row>
    <row r="11" spans="1:22" ht="15.5" x14ac:dyDescent="0.35">
      <c r="A11" s="355"/>
      <c r="B11" s="684" t="s">
        <v>372</v>
      </c>
      <c r="C11" s="575"/>
      <c r="D11" s="575"/>
      <c r="E11" s="575"/>
      <c r="F11" s="683"/>
      <c r="G11" s="682"/>
      <c r="H11" s="458"/>
      <c r="I11" s="457"/>
      <c r="J11" s="457"/>
      <c r="K11" s="675"/>
      <c r="L11" s="669"/>
      <c r="M11" s="674"/>
      <c r="N11" s="670"/>
      <c r="O11" s="670"/>
      <c r="P11" s="670"/>
      <c r="Q11" s="670"/>
      <c r="R11" s="670"/>
      <c r="S11" s="359"/>
      <c r="T11" s="359"/>
      <c r="U11" s="359"/>
      <c r="V11" s="359"/>
    </row>
    <row r="12" spans="1:22" ht="15.5" x14ac:dyDescent="0.25">
      <c r="A12" s="370"/>
      <c r="B12" s="684" t="s">
        <v>503</v>
      </c>
      <c r="C12" s="685"/>
      <c r="D12" s="685"/>
      <c r="E12" s="372"/>
      <c r="F12" s="373"/>
      <c r="G12" s="342"/>
      <c r="H12" s="343"/>
      <c r="I12" s="344"/>
      <c r="J12" s="344"/>
      <c r="K12" s="674"/>
      <c r="L12" s="353"/>
      <c r="M12" s="672"/>
      <c r="N12" s="370"/>
      <c r="O12" s="370"/>
      <c r="P12" s="370"/>
      <c r="Q12" s="370"/>
      <c r="R12" s="374"/>
      <c r="S12" s="374"/>
      <c r="T12" s="374"/>
      <c r="U12" s="374"/>
      <c r="V12" s="374"/>
    </row>
    <row r="13" spans="1:22" ht="15.5" x14ac:dyDescent="0.25">
      <c r="A13" s="370"/>
      <c r="B13" s="711">
        <v>150000119564</v>
      </c>
      <c r="C13" s="488">
        <v>44742</v>
      </c>
      <c r="D13" s="489">
        <v>44743</v>
      </c>
      <c r="E13" s="490" t="s">
        <v>393</v>
      </c>
      <c r="F13" s="491">
        <v>37949246.399999999</v>
      </c>
      <c r="G13" s="492">
        <v>0.4</v>
      </c>
      <c r="H13" s="493">
        <v>151796.99</v>
      </c>
      <c r="I13" s="492"/>
      <c r="J13" s="492"/>
      <c r="K13" s="714" t="s">
        <v>375</v>
      </c>
      <c r="L13" s="353"/>
      <c r="M13" s="672"/>
      <c r="N13" s="370"/>
      <c r="O13" s="370"/>
      <c r="P13" s="370"/>
      <c r="Q13" s="370"/>
      <c r="R13" s="374"/>
      <c r="S13" s="374"/>
      <c r="T13" s="374"/>
      <c r="U13" s="374"/>
      <c r="V13" s="374"/>
    </row>
    <row r="14" spans="1:22" ht="15.5" x14ac:dyDescent="0.25">
      <c r="A14" s="370"/>
      <c r="B14" s="711">
        <v>150000119600</v>
      </c>
      <c r="C14" s="488">
        <v>44742</v>
      </c>
      <c r="D14" s="489">
        <v>44743</v>
      </c>
      <c r="E14" s="490" t="s">
        <v>393</v>
      </c>
      <c r="F14" s="491">
        <v>14950533.539999999</v>
      </c>
      <c r="G14" s="492">
        <v>0.4</v>
      </c>
      <c r="H14" s="493">
        <v>59802.13</v>
      </c>
      <c r="I14" s="492"/>
      <c r="J14" s="492"/>
      <c r="K14" s="714" t="s">
        <v>375</v>
      </c>
      <c r="L14" s="353"/>
      <c r="M14" s="672"/>
      <c r="N14" s="370"/>
      <c r="O14" s="370"/>
      <c r="P14" s="370"/>
      <c r="Q14" s="370"/>
      <c r="R14" s="374"/>
      <c r="S14" s="374"/>
      <c r="T14" s="374"/>
      <c r="U14" s="374"/>
      <c r="V14" s="374"/>
    </row>
    <row r="15" spans="1:22" ht="15.5" x14ac:dyDescent="0.25">
      <c r="A15" s="370"/>
      <c r="B15" s="729">
        <v>110000081632</v>
      </c>
      <c r="C15" s="651">
        <v>44741</v>
      </c>
      <c r="D15" s="651" t="s">
        <v>373</v>
      </c>
      <c r="E15" s="554" t="s">
        <v>374</v>
      </c>
      <c r="F15" s="556">
        <v>88937936.180000007</v>
      </c>
      <c r="G15" s="557">
        <v>0.75</v>
      </c>
      <c r="H15" s="493">
        <v>667034.52</v>
      </c>
      <c r="I15" s="557"/>
      <c r="J15" s="557"/>
      <c r="K15" s="714" t="s">
        <v>375</v>
      </c>
      <c r="L15" s="353"/>
      <c r="M15" s="672"/>
      <c r="N15" s="370"/>
      <c r="O15" s="370"/>
      <c r="P15" s="370"/>
      <c r="Q15" s="370"/>
      <c r="R15" s="374"/>
      <c r="S15" s="374"/>
      <c r="T15" s="374"/>
      <c r="U15" s="374"/>
      <c r="V15" s="374"/>
    </row>
    <row r="16" spans="1:22" ht="15.5" x14ac:dyDescent="0.25">
      <c r="A16" s="370"/>
      <c r="B16" s="730">
        <v>110000081641</v>
      </c>
      <c r="C16" s="554">
        <v>44741</v>
      </c>
      <c r="D16" s="555" t="s">
        <v>373</v>
      </c>
      <c r="E16" s="554" t="s">
        <v>374</v>
      </c>
      <c r="F16" s="560">
        <v>26112559.23</v>
      </c>
      <c r="G16" s="561">
        <v>0.75</v>
      </c>
      <c r="H16" s="493">
        <v>195844.19</v>
      </c>
      <c r="I16" s="561"/>
      <c r="J16" s="561"/>
      <c r="K16" s="714" t="s">
        <v>375</v>
      </c>
      <c r="L16" s="353"/>
      <c r="M16" s="672"/>
      <c r="N16" s="370"/>
      <c r="O16" s="370"/>
      <c r="P16" s="370"/>
      <c r="Q16" s="370"/>
      <c r="R16" s="374"/>
      <c r="S16" s="374"/>
      <c r="T16" s="374"/>
      <c r="U16" s="374"/>
      <c r="V16" s="374"/>
    </row>
    <row r="17" spans="1:22" ht="15.5" x14ac:dyDescent="0.25">
      <c r="A17" s="370"/>
      <c r="B17" s="730">
        <v>110000081679</v>
      </c>
      <c r="C17" s="731">
        <v>44741</v>
      </c>
      <c r="D17" s="731" t="s">
        <v>373</v>
      </c>
      <c r="E17" s="554" t="s">
        <v>374</v>
      </c>
      <c r="F17" s="560">
        <v>212080346.53999999</v>
      </c>
      <c r="G17" s="561">
        <v>0.75</v>
      </c>
      <c r="H17" s="493">
        <v>1590602.6</v>
      </c>
      <c r="I17" s="561"/>
      <c r="J17" s="561"/>
      <c r="K17" s="714" t="s">
        <v>375</v>
      </c>
      <c r="L17" s="353"/>
      <c r="M17" s="672"/>
      <c r="N17" s="370"/>
      <c r="O17" s="370"/>
      <c r="P17" s="370"/>
      <c r="Q17" s="370"/>
      <c r="R17" s="374"/>
      <c r="S17" s="374"/>
      <c r="T17" s="374"/>
      <c r="U17" s="374"/>
      <c r="V17" s="374"/>
    </row>
    <row r="18" spans="1:22" ht="15.5" x14ac:dyDescent="0.25">
      <c r="A18" s="370"/>
      <c r="B18" s="720">
        <v>110000081660</v>
      </c>
      <c r="C18" s="732">
        <v>44741</v>
      </c>
      <c r="D18" s="731" t="s">
        <v>373</v>
      </c>
      <c r="E18" s="554" t="s">
        <v>374</v>
      </c>
      <c r="F18" s="560">
        <v>189800045.22999999</v>
      </c>
      <c r="G18" s="561">
        <v>0.75</v>
      </c>
      <c r="H18" s="493">
        <v>1423500.34</v>
      </c>
      <c r="I18" s="561"/>
      <c r="J18" s="561"/>
      <c r="K18" s="714" t="s">
        <v>375</v>
      </c>
      <c r="L18" s="353"/>
      <c r="M18" s="672"/>
      <c r="N18" s="370"/>
      <c r="O18" s="370"/>
      <c r="P18" s="370"/>
      <c r="Q18" s="370"/>
      <c r="R18" s="374"/>
      <c r="S18" s="374"/>
      <c r="T18" s="374"/>
      <c r="U18" s="374"/>
      <c r="V18" s="374"/>
    </row>
    <row r="19" spans="1:22" ht="15.5" x14ac:dyDescent="0.25">
      <c r="A19" s="370"/>
      <c r="B19" s="733">
        <v>110000081650</v>
      </c>
      <c r="C19" s="554">
        <v>44741</v>
      </c>
      <c r="D19" s="555" t="s">
        <v>373</v>
      </c>
      <c r="E19" s="616" t="s">
        <v>374</v>
      </c>
      <c r="F19" s="566">
        <v>9596722.8300000001</v>
      </c>
      <c r="G19" s="734">
        <v>0.75</v>
      </c>
      <c r="H19" s="493">
        <v>71975.42</v>
      </c>
      <c r="I19" s="734"/>
      <c r="J19" s="734"/>
      <c r="K19" s="714" t="s">
        <v>375</v>
      </c>
      <c r="L19" s="353"/>
      <c r="M19" s="672"/>
      <c r="N19" s="370"/>
      <c r="O19" s="370"/>
      <c r="P19" s="370"/>
      <c r="Q19" s="370"/>
      <c r="R19" s="374"/>
      <c r="S19" s="374"/>
      <c r="T19" s="374"/>
      <c r="U19" s="374"/>
      <c r="V19" s="374"/>
    </row>
    <row r="20" spans="1:22" ht="15.5" x14ac:dyDescent="0.35">
      <c r="A20" s="520"/>
      <c r="B20" s="686" t="s">
        <v>504</v>
      </c>
      <c r="C20" s="401"/>
      <c r="D20" s="401"/>
      <c r="E20" s="407"/>
      <c r="F20" s="601"/>
      <c r="G20" s="687"/>
      <c r="H20" s="493"/>
      <c r="I20" s="737"/>
      <c r="J20" s="737"/>
      <c r="K20" s="667"/>
      <c r="L20" s="365"/>
      <c r="M20" s="337"/>
      <c r="N20" s="520"/>
      <c r="O20" s="520"/>
      <c r="P20" s="520"/>
      <c r="Q20" s="520"/>
      <c r="R20" s="524"/>
      <c r="S20" s="524"/>
      <c r="T20" s="524"/>
      <c r="U20" s="524"/>
      <c r="V20" s="524"/>
    </row>
    <row r="21" spans="1:22" ht="15.5" x14ac:dyDescent="0.35">
      <c r="A21" s="370"/>
      <c r="B21" s="688" t="s">
        <v>505</v>
      </c>
      <c r="C21" s="689"/>
      <c r="D21" s="689"/>
      <c r="E21" s="689"/>
      <c r="F21" s="621"/>
      <c r="G21" s="690"/>
      <c r="H21" s="493"/>
      <c r="I21" s="738"/>
      <c r="J21" s="738"/>
      <c r="K21" s="667"/>
      <c r="L21" s="365"/>
      <c r="M21" s="337"/>
      <c r="N21" s="370"/>
      <c r="O21" s="370"/>
      <c r="P21" s="370"/>
      <c r="Q21" s="370"/>
      <c r="R21" s="374"/>
      <c r="S21" s="374"/>
      <c r="T21" s="374"/>
      <c r="U21" s="374"/>
      <c r="V21" s="374"/>
    </row>
    <row r="22" spans="1:22" ht="15.5" x14ac:dyDescent="0.25">
      <c r="A22" s="365"/>
      <c r="B22" s="720">
        <v>110000081697</v>
      </c>
      <c r="C22" s="651">
        <v>44741</v>
      </c>
      <c r="D22" s="651" t="s">
        <v>373</v>
      </c>
      <c r="E22" s="726" t="s">
        <v>374</v>
      </c>
      <c r="F22" s="725">
        <v>573969.68000000005</v>
      </c>
      <c r="G22" s="564">
        <v>0.75</v>
      </c>
      <c r="H22" s="493">
        <v>4304.7700000000004</v>
      </c>
      <c r="I22" s="564"/>
      <c r="J22" s="564"/>
      <c r="K22" s="714" t="s">
        <v>375</v>
      </c>
      <c r="L22" s="365"/>
      <c r="M22" s="365"/>
      <c r="N22" s="365"/>
      <c r="O22" s="365"/>
      <c r="P22" s="365"/>
      <c r="Q22" s="365"/>
      <c r="R22" s="353"/>
      <c r="S22" s="353"/>
      <c r="T22" s="353"/>
      <c r="U22" s="353"/>
      <c r="V22" s="353"/>
    </row>
    <row r="23" spans="1:22" ht="15.5" x14ac:dyDescent="0.25">
      <c r="A23" s="365"/>
      <c r="B23" s="720">
        <v>110000081688</v>
      </c>
      <c r="C23" s="651">
        <v>44741</v>
      </c>
      <c r="D23" s="651" t="s">
        <v>373</v>
      </c>
      <c r="E23" s="726" t="s">
        <v>374</v>
      </c>
      <c r="F23" s="725">
        <v>93106.66</v>
      </c>
      <c r="G23" s="564">
        <v>0.75</v>
      </c>
      <c r="H23" s="493">
        <v>698.3</v>
      </c>
      <c r="I23" s="564"/>
      <c r="J23" s="564"/>
      <c r="K23" s="714" t="s">
        <v>375</v>
      </c>
      <c r="L23" s="365"/>
      <c r="M23" s="365"/>
      <c r="N23" s="365"/>
      <c r="O23" s="365"/>
      <c r="P23" s="365"/>
      <c r="Q23" s="365"/>
      <c r="R23" s="353"/>
      <c r="S23" s="353"/>
      <c r="T23" s="353"/>
      <c r="U23" s="353"/>
      <c r="V23" s="353"/>
    </row>
    <row r="24" spans="1:22" ht="15.5" x14ac:dyDescent="0.35">
      <c r="A24" s="370"/>
      <c r="B24" s="691" t="s">
        <v>506</v>
      </c>
      <c r="C24" s="692"/>
      <c r="D24" s="692"/>
      <c r="E24" s="692"/>
      <c r="F24" s="486"/>
      <c r="G24" s="693"/>
      <c r="H24" s="493"/>
      <c r="I24" s="739"/>
      <c r="J24" s="739"/>
      <c r="K24" s="667"/>
      <c r="L24" s="365"/>
      <c r="M24" s="337"/>
      <c r="N24" s="370"/>
      <c r="O24" s="370"/>
      <c r="P24" s="370"/>
      <c r="Q24" s="370"/>
      <c r="R24" s="374"/>
      <c r="S24" s="374"/>
      <c r="T24" s="374"/>
      <c r="U24" s="374"/>
      <c r="V24" s="374"/>
    </row>
    <row r="25" spans="1:22" ht="15.5" x14ac:dyDescent="0.25">
      <c r="A25" s="365"/>
      <c r="B25" s="720">
        <v>110000081712</v>
      </c>
      <c r="C25" s="651">
        <v>44741</v>
      </c>
      <c r="D25" s="651" t="s">
        <v>373</v>
      </c>
      <c r="E25" s="726" t="s">
        <v>374</v>
      </c>
      <c r="F25" s="566">
        <v>3119609.91</v>
      </c>
      <c r="G25" s="564">
        <v>0.75</v>
      </c>
      <c r="H25" s="493">
        <v>23397.07</v>
      </c>
      <c r="I25" s="564"/>
      <c r="J25" s="564"/>
      <c r="K25" s="712" t="s">
        <v>375</v>
      </c>
      <c r="L25" s="365"/>
      <c r="M25" s="365"/>
      <c r="N25" s="365"/>
      <c r="O25" s="365"/>
      <c r="P25" s="365"/>
      <c r="Q25" s="365"/>
      <c r="R25" s="353"/>
      <c r="S25" s="353"/>
      <c r="T25" s="353"/>
      <c r="U25" s="353"/>
      <c r="V25" s="353"/>
    </row>
    <row r="26" spans="1:22" ht="15.5" x14ac:dyDescent="0.25">
      <c r="A26" s="365"/>
      <c r="B26" s="720">
        <v>110000081703</v>
      </c>
      <c r="C26" s="651">
        <v>44741</v>
      </c>
      <c r="D26" s="651" t="s">
        <v>373</v>
      </c>
      <c r="E26" s="726" t="s">
        <v>374</v>
      </c>
      <c r="F26" s="566">
        <v>1636784.18</v>
      </c>
      <c r="G26" s="564">
        <v>0.75</v>
      </c>
      <c r="H26" s="493">
        <v>12275.88</v>
      </c>
      <c r="I26" s="564"/>
      <c r="J26" s="564"/>
      <c r="K26" s="712" t="s">
        <v>375</v>
      </c>
      <c r="L26" s="365"/>
      <c r="M26" s="365"/>
      <c r="N26" s="365"/>
      <c r="O26" s="365"/>
      <c r="P26" s="365"/>
      <c r="Q26" s="365"/>
      <c r="R26" s="353"/>
      <c r="S26" s="353"/>
      <c r="T26" s="353"/>
      <c r="U26" s="353"/>
      <c r="V26" s="353"/>
    </row>
    <row r="27" spans="1:22" ht="15.5" x14ac:dyDescent="0.35">
      <c r="A27" s="370"/>
      <c r="B27" s="691" t="s">
        <v>507</v>
      </c>
      <c r="C27" s="692"/>
      <c r="D27" s="692"/>
      <c r="E27" s="692"/>
      <c r="F27" s="486"/>
      <c r="G27" s="693"/>
      <c r="H27" s="493"/>
      <c r="I27" s="739"/>
      <c r="J27" s="739"/>
      <c r="K27" s="667"/>
      <c r="L27" s="365"/>
      <c r="M27" s="337"/>
      <c r="N27" s="370"/>
      <c r="O27" s="370"/>
      <c r="P27" s="370"/>
      <c r="Q27" s="370"/>
      <c r="R27" s="374"/>
      <c r="S27" s="374"/>
      <c r="T27" s="374"/>
      <c r="U27" s="374"/>
      <c r="V27" s="374"/>
    </row>
    <row r="28" spans="1:22" ht="15.5" x14ac:dyDescent="0.25">
      <c r="A28" s="365"/>
      <c r="B28" s="614">
        <v>110000081721</v>
      </c>
      <c r="C28" s="651">
        <v>44741</v>
      </c>
      <c r="D28" s="651" t="s">
        <v>373</v>
      </c>
      <c r="E28" s="726" t="s">
        <v>374</v>
      </c>
      <c r="F28" s="725">
        <v>22576.35</v>
      </c>
      <c r="G28" s="564">
        <v>0.75</v>
      </c>
      <c r="H28" s="493">
        <v>169.32</v>
      </c>
      <c r="I28" s="564"/>
      <c r="J28" s="564"/>
      <c r="K28" s="712" t="s">
        <v>375</v>
      </c>
      <c r="L28" s="365"/>
      <c r="M28" s="365"/>
      <c r="N28" s="365"/>
      <c r="O28" s="365"/>
      <c r="P28" s="365"/>
      <c r="Q28" s="365"/>
      <c r="R28" s="353"/>
      <c r="S28" s="353"/>
      <c r="T28" s="353"/>
      <c r="U28" s="353"/>
      <c r="V28" s="353"/>
    </row>
    <row r="29" spans="1:22" ht="15.5" x14ac:dyDescent="0.35">
      <c r="A29" s="365"/>
      <c r="B29" s="717" t="s">
        <v>508</v>
      </c>
      <c r="C29" s="694"/>
      <c r="D29" s="694"/>
      <c r="E29" s="695"/>
      <c r="F29" s="696"/>
      <c r="G29" s="697"/>
      <c r="H29" s="493"/>
      <c r="I29" s="740"/>
      <c r="J29" s="740"/>
      <c r="K29" s="667"/>
      <c r="L29" s="365"/>
      <c r="M29" s="365"/>
      <c r="N29" s="365"/>
      <c r="O29" s="365"/>
      <c r="P29" s="365"/>
      <c r="Q29" s="365"/>
      <c r="R29" s="353"/>
      <c r="S29" s="353"/>
      <c r="T29" s="353"/>
      <c r="U29" s="353"/>
      <c r="V29" s="353"/>
    </row>
    <row r="30" spans="1:22" ht="15.5" x14ac:dyDescent="0.35">
      <c r="A30" s="370"/>
      <c r="B30" s="698" t="s">
        <v>509</v>
      </c>
      <c r="C30" s="699"/>
      <c r="D30" s="709"/>
      <c r="E30" s="695"/>
      <c r="F30" s="696"/>
      <c r="G30" s="412"/>
      <c r="H30" s="493"/>
      <c r="I30" s="739"/>
      <c r="J30" s="739"/>
      <c r="K30" s="667"/>
      <c r="L30" s="365"/>
      <c r="M30" s="671"/>
      <c r="N30" s="370"/>
      <c r="O30" s="370"/>
      <c r="P30" s="370"/>
      <c r="Q30" s="370"/>
      <c r="R30" s="374"/>
      <c r="S30" s="374"/>
      <c r="T30" s="374"/>
      <c r="U30" s="374"/>
      <c r="V30" s="374"/>
    </row>
    <row r="31" spans="1:22" ht="15.5" x14ac:dyDescent="0.35">
      <c r="A31" s="370"/>
      <c r="B31" s="684" t="s">
        <v>372</v>
      </c>
      <c r="C31" s="699"/>
      <c r="D31" s="709"/>
      <c r="E31" s="695"/>
      <c r="F31" s="696"/>
      <c r="G31" s="412"/>
      <c r="H31" s="493"/>
      <c r="I31" s="739"/>
      <c r="J31" s="739"/>
      <c r="K31" s="667"/>
      <c r="L31" s="365"/>
      <c r="M31" s="671"/>
      <c r="N31" s="370"/>
      <c r="O31" s="370"/>
      <c r="P31" s="370"/>
      <c r="Q31" s="370"/>
      <c r="R31" s="374"/>
      <c r="S31" s="374"/>
      <c r="T31" s="374"/>
      <c r="U31" s="374"/>
      <c r="V31" s="374"/>
    </row>
    <row r="32" spans="1:22" ht="15.5" x14ac:dyDescent="0.25">
      <c r="A32" s="365"/>
      <c r="B32" s="720">
        <v>110000079993</v>
      </c>
      <c r="C32" s="723">
        <v>44669</v>
      </c>
      <c r="D32" s="722">
        <v>44760</v>
      </c>
      <c r="E32" s="724" t="s">
        <v>510</v>
      </c>
      <c r="F32" s="725">
        <v>54602.93</v>
      </c>
      <c r="G32" s="564">
        <v>0.5</v>
      </c>
      <c r="H32" s="493">
        <v>273.01</v>
      </c>
      <c r="I32" s="741"/>
      <c r="J32" s="741"/>
      <c r="K32" s="719"/>
      <c r="L32" s="365"/>
      <c r="M32" s="365"/>
      <c r="N32" s="365"/>
      <c r="O32" s="365"/>
      <c r="P32" s="365"/>
      <c r="Q32" s="365"/>
      <c r="R32" s="353"/>
      <c r="S32" s="353"/>
      <c r="T32" s="353"/>
      <c r="U32" s="353"/>
      <c r="V32" s="353"/>
    </row>
    <row r="33" spans="1:22" ht="15.5" x14ac:dyDescent="0.25">
      <c r="A33" s="365"/>
      <c r="B33" s="720">
        <v>110000080009</v>
      </c>
      <c r="C33" s="723">
        <v>44669</v>
      </c>
      <c r="D33" s="722">
        <v>44760</v>
      </c>
      <c r="E33" s="724" t="s">
        <v>510</v>
      </c>
      <c r="F33" s="725">
        <v>16938.240000000002</v>
      </c>
      <c r="G33" s="564">
        <v>0.5</v>
      </c>
      <c r="H33" s="493">
        <v>84.69</v>
      </c>
      <c r="I33" s="741"/>
      <c r="J33" s="741"/>
      <c r="K33" s="719"/>
      <c r="L33" s="365"/>
      <c r="M33" s="365"/>
      <c r="N33" s="365"/>
      <c r="O33" s="365"/>
      <c r="P33" s="365"/>
      <c r="Q33" s="365"/>
      <c r="R33" s="353"/>
      <c r="S33" s="353"/>
      <c r="T33" s="353"/>
      <c r="U33" s="353"/>
      <c r="V33" s="353"/>
    </row>
    <row r="34" spans="1:22" ht="15.5" x14ac:dyDescent="0.25">
      <c r="A34" s="365"/>
      <c r="B34" s="720">
        <v>110000081730</v>
      </c>
      <c r="C34" s="651">
        <v>44741</v>
      </c>
      <c r="D34" s="651" t="s">
        <v>373</v>
      </c>
      <c r="E34" s="554" t="s">
        <v>374</v>
      </c>
      <c r="F34" s="560">
        <v>1064399.21</v>
      </c>
      <c r="G34" s="561">
        <v>0.75</v>
      </c>
      <c r="H34" s="493">
        <v>7982.99</v>
      </c>
      <c r="I34" s="742"/>
      <c r="J34" s="742"/>
      <c r="K34" s="719"/>
      <c r="L34" s="365"/>
      <c r="M34" s="365"/>
      <c r="N34" s="365"/>
      <c r="O34" s="365"/>
      <c r="P34" s="365"/>
      <c r="Q34" s="365"/>
      <c r="R34" s="353"/>
      <c r="S34" s="353"/>
      <c r="T34" s="353"/>
      <c r="U34" s="353"/>
      <c r="V34" s="353"/>
    </row>
    <row r="35" spans="1:22" ht="15.5" x14ac:dyDescent="0.25">
      <c r="A35" s="365"/>
      <c r="B35" s="720">
        <v>110000081740</v>
      </c>
      <c r="C35" s="615">
        <v>44741</v>
      </c>
      <c r="D35" s="615" t="s">
        <v>373</v>
      </c>
      <c r="E35" s="554" t="s">
        <v>374</v>
      </c>
      <c r="F35" s="735">
        <v>3870391.05</v>
      </c>
      <c r="G35" s="736">
        <v>0.75</v>
      </c>
      <c r="H35" s="493">
        <v>29027.93</v>
      </c>
      <c r="I35" s="741"/>
      <c r="J35" s="741"/>
      <c r="K35" s="719"/>
      <c r="L35" s="365"/>
      <c r="M35" s="365"/>
      <c r="N35" s="365"/>
      <c r="O35" s="365"/>
      <c r="P35" s="365"/>
      <c r="Q35" s="365"/>
      <c r="R35" s="353"/>
      <c r="S35" s="353"/>
      <c r="T35" s="353"/>
      <c r="U35" s="353"/>
      <c r="V35" s="353"/>
    </row>
    <row r="36" spans="1:22" ht="15.5" x14ac:dyDescent="0.35">
      <c r="A36" s="370"/>
      <c r="B36" s="1689" t="s">
        <v>511</v>
      </c>
      <c r="C36" s="1690"/>
      <c r="D36" s="1690"/>
      <c r="E36" s="1690"/>
      <c r="F36" s="700"/>
      <c r="G36" s="693"/>
      <c r="H36" s="493"/>
      <c r="I36" s="739"/>
      <c r="J36" s="739"/>
      <c r="K36" s="667"/>
      <c r="L36" s="619"/>
      <c r="M36" s="337"/>
      <c r="N36" s="370"/>
      <c r="O36" s="370"/>
      <c r="P36" s="370"/>
      <c r="Q36" s="370"/>
      <c r="R36" s="374"/>
      <c r="S36" s="374"/>
      <c r="T36" s="374"/>
      <c r="U36" s="374"/>
      <c r="V36" s="374"/>
    </row>
    <row r="37" spans="1:22" ht="15.5" x14ac:dyDescent="0.35">
      <c r="A37" s="370"/>
      <c r="B37" s="684" t="s">
        <v>372</v>
      </c>
      <c r="C37" s="699"/>
      <c r="D37" s="709"/>
      <c r="E37" s="695"/>
      <c r="F37" s="696"/>
      <c r="G37" s="412"/>
      <c r="H37" s="493"/>
      <c r="I37" s="739"/>
      <c r="J37" s="739"/>
      <c r="K37" s="667"/>
      <c r="L37" s="365"/>
      <c r="M37" s="671"/>
      <c r="N37" s="370"/>
      <c r="O37" s="370"/>
      <c r="P37" s="370"/>
      <c r="Q37" s="370"/>
      <c r="R37" s="374"/>
      <c r="S37" s="374"/>
      <c r="T37" s="374"/>
      <c r="U37" s="374"/>
      <c r="V37" s="374"/>
    </row>
    <row r="38" spans="1:22" ht="15.5" x14ac:dyDescent="0.25">
      <c r="A38" s="392"/>
      <c r="B38" s="720">
        <v>110000081759</v>
      </c>
      <c r="C38" s="651">
        <v>44741</v>
      </c>
      <c r="D38" s="651" t="s">
        <v>373</v>
      </c>
      <c r="E38" s="616" t="s">
        <v>374</v>
      </c>
      <c r="F38" s="566">
        <v>8261248.6799999997</v>
      </c>
      <c r="G38" s="564">
        <v>0.75</v>
      </c>
      <c r="H38" s="493">
        <v>61959.37</v>
      </c>
      <c r="I38" s="564"/>
      <c r="J38" s="564"/>
      <c r="K38" s="714" t="s">
        <v>375</v>
      </c>
      <c r="L38" s="392"/>
      <c r="M38" s="392"/>
      <c r="N38" s="392"/>
      <c r="O38" s="392"/>
      <c r="P38" s="392"/>
      <c r="Q38" s="392"/>
      <c r="R38" s="393"/>
      <c r="S38" s="393"/>
      <c r="T38" s="393"/>
      <c r="U38" s="393"/>
      <c r="V38" s="393"/>
    </row>
    <row r="39" spans="1:22" ht="15.5" x14ac:dyDescent="0.25">
      <c r="A39" s="392"/>
      <c r="B39" s="720">
        <v>110000081768</v>
      </c>
      <c r="C39" s="651">
        <v>44741</v>
      </c>
      <c r="D39" s="651" t="s">
        <v>373</v>
      </c>
      <c r="E39" s="616" t="s">
        <v>374</v>
      </c>
      <c r="F39" s="566">
        <v>1858681.25</v>
      </c>
      <c r="G39" s="564">
        <v>0.75</v>
      </c>
      <c r="H39" s="493">
        <v>13940.11</v>
      </c>
      <c r="I39" s="564"/>
      <c r="J39" s="564"/>
      <c r="K39" s="714" t="s">
        <v>375</v>
      </c>
      <c r="L39" s="392"/>
      <c r="M39" s="392"/>
      <c r="N39" s="392"/>
      <c r="O39" s="392"/>
      <c r="P39" s="392"/>
      <c r="Q39" s="392"/>
      <c r="R39" s="393"/>
      <c r="S39" s="393"/>
      <c r="T39" s="393"/>
      <c r="U39" s="393"/>
      <c r="V39" s="393"/>
    </row>
    <row r="40" spans="1:22" ht="15.5" x14ac:dyDescent="0.25">
      <c r="A40" s="392"/>
      <c r="B40" s="720">
        <v>110000081777</v>
      </c>
      <c r="C40" s="651">
        <v>44741</v>
      </c>
      <c r="D40" s="651" t="s">
        <v>373</v>
      </c>
      <c r="E40" s="616" t="s">
        <v>374</v>
      </c>
      <c r="F40" s="566">
        <v>217212.78</v>
      </c>
      <c r="G40" s="564">
        <v>0.75</v>
      </c>
      <c r="H40" s="493">
        <v>1629.1</v>
      </c>
      <c r="I40" s="564"/>
      <c r="J40" s="564"/>
      <c r="K40" s="714" t="s">
        <v>375</v>
      </c>
      <c r="L40" s="392"/>
      <c r="M40" s="392"/>
      <c r="N40" s="392"/>
      <c r="O40" s="392"/>
      <c r="P40" s="392"/>
      <c r="Q40" s="392"/>
      <c r="R40" s="393"/>
      <c r="S40" s="393"/>
      <c r="T40" s="393"/>
      <c r="U40" s="393"/>
      <c r="V40" s="393"/>
    </row>
    <row r="41" spans="1:22" ht="15.5" x14ac:dyDescent="0.35">
      <c r="A41" s="365"/>
      <c r="B41" s="1689" t="s">
        <v>512</v>
      </c>
      <c r="C41" s="1690"/>
      <c r="D41" s="1690"/>
      <c r="E41" s="1690"/>
      <c r="F41" s="700"/>
      <c r="G41" s="701"/>
      <c r="H41" s="493"/>
      <c r="I41" s="739"/>
      <c r="J41" s="739"/>
      <c r="K41" s="667"/>
      <c r="L41" s="365"/>
      <c r="M41" s="337"/>
      <c r="N41" s="365"/>
      <c r="O41" s="365"/>
      <c r="P41" s="365"/>
      <c r="Q41" s="365"/>
      <c r="R41" s="353"/>
      <c r="S41" s="353"/>
      <c r="T41" s="353"/>
      <c r="U41" s="353"/>
      <c r="V41" s="353"/>
    </row>
    <row r="42" spans="1:22" ht="15.5" x14ac:dyDescent="0.35">
      <c r="A42" s="370"/>
      <c r="B42" s="684" t="s">
        <v>372</v>
      </c>
      <c r="C42" s="699"/>
      <c r="D42" s="709"/>
      <c r="E42" s="695"/>
      <c r="F42" s="696"/>
      <c r="G42" s="412"/>
      <c r="H42" s="493"/>
      <c r="I42" s="739"/>
      <c r="J42" s="739"/>
      <c r="K42" s="667"/>
      <c r="L42" s="365"/>
      <c r="M42" s="671"/>
      <c r="N42" s="370"/>
      <c r="O42" s="370"/>
      <c r="P42" s="370"/>
      <c r="Q42" s="370"/>
      <c r="R42" s="374"/>
      <c r="S42" s="374"/>
      <c r="T42" s="374"/>
      <c r="U42" s="374"/>
      <c r="V42" s="374"/>
    </row>
    <row r="43" spans="1:22" ht="15.5" x14ac:dyDescent="0.25">
      <c r="A43" s="676"/>
      <c r="B43" s="720">
        <v>110000080018</v>
      </c>
      <c r="C43" s="723">
        <v>44669</v>
      </c>
      <c r="D43" s="722">
        <v>44760</v>
      </c>
      <c r="E43" s="726" t="s">
        <v>510</v>
      </c>
      <c r="F43" s="725">
        <v>25270.11</v>
      </c>
      <c r="G43" s="564">
        <v>0.5</v>
      </c>
      <c r="H43" s="493">
        <v>126.35</v>
      </c>
      <c r="I43" s="564"/>
      <c r="J43" s="564"/>
      <c r="K43" s="714" t="s">
        <v>375</v>
      </c>
      <c r="L43" s="392"/>
      <c r="M43" s="392"/>
      <c r="N43" s="392"/>
      <c r="O43" s="392"/>
      <c r="P43" s="392"/>
      <c r="Q43" s="392"/>
      <c r="R43" s="393"/>
      <c r="S43" s="393"/>
      <c r="T43" s="393"/>
      <c r="U43" s="393"/>
      <c r="V43" s="393"/>
    </row>
    <row r="44" spans="1:22" ht="15.5" x14ac:dyDescent="0.25">
      <c r="A44" s="676"/>
      <c r="B44" s="720">
        <v>110000081786</v>
      </c>
      <c r="C44" s="651">
        <v>44741</v>
      </c>
      <c r="D44" s="651" t="s">
        <v>373</v>
      </c>
      <c r="E44" s="616" t="s">
        <v>374</v>
      </c>
      <c r="F44" s="566">
        <v>323171.62</v>
      </c>
      <c r="G44" s="564">
        <v>0.75</v>
      </c>
      <c r="H44" s="493">
        <v>2423.79</v>
      </c>
      <c r="I44" s="741"/>
      <c r="J44" s="741"/>
      <c r="K44" s="718"/>
      <c r="L44" s="392"/>
      <c r="M44" s="392"/>
      <c r="N44" s="392"/>
      <c r="O44" s="392"/>
      <c r="P44" s="392"/>
      <c r="Q44" s="392"/>
      <c r="R44" s="393"/>
      <c r="S44" s="393"/>
      <c r="T44" s="393"/>
      <c r="U44" s="393"/>
      <c r="V44" s="393"/>
    </row>
    <row r="45" spans="1:22" ht="15.5" x14ac:dyDescent="0.25">
      <c r="A45" s="676"/>
      <c r="B45" s="720">
        <v>110000081795</v>
      </c>
      <c r="C45" s="615">
        <v>44741</v>
      </c>
      <c r="D45" s="615" t="s">
        <v>373</v>
      </c>
      <c r="E45" s="616" t="s">
        <v>374</v>
      </c>
      <c r="F45" s="725">
        <v>538945.37</v>
      </c>
      <c r="G45" s="564">
        <v>0.75</v>
      </c>
      <c r="H45" s="493">
        <v>4042.09</v>
      </c>
      <c r="I45" s="741"/>
      <c r="J45" s="741"/>
      <c r="K45" s="718"/>
      <c r="L45" s="392"/>
      <c r="M45" s="392"/>
      <c r="N45" s="392"/>
      <c r="O45" s="392"/>
      <c r="P45" s="392"/>
      <c r="Q45" s="392"/>
      <c r="R45" s="393"/>
      <c r="S45" s="393"/>
      <c r="T45" s="393"/>
      <c r="U45" s="393"/>
      <c r="V45" s="393"/>
    </row>
    <row r="46" spans="1:22" ht="15.5" x14ac:dyDescent="0.35">
      <c r="A46" s="365"/>
      <c r="B46" s="715" t="s">
        <v>513</v>
      </c>
      <c r="C46" s="509"/>
      <c r="D46" s="509"/>
      <c r="E46" s="702"/>
      <c r="F46" s="486"/>
      <c r="G46" s="481"/>
      <c r="H46" s="493"/>
      <c r="I46" s="739"/>
      <c r="J46" s="739"/>
      <c r="K46" s="667"/>
      <c r="L46" s="365"/>
      <c r="M46" s="413"/>
      <c r="N46" s="374"/>
      <c r="O46" s="370"/>
      <c r="P46" s="370"/>
      <c r="Q46" s="370"/>
      <c r="R46" s="374"/>
      <c r="S46" s="374"/>
      <c r="T46" s="374"/>
      <c r="U46" s="374"/>
      <c r="V46" s="374"/>
    </row>
    <row r="47" spans="1:22" ht="15.5" x14ac:dyDescent="0.35">
      <c r="A47" s="370"/>
      <c r="B47" s="698" t="s">
        <v>372</v>
      </c>
      <c r="C47" s="716"/>
      <c r="D47" s="716"/>
      <c r="E47" s="702"/>
      <c r="F47" s="486"/>
      <c r="G47" s="693"/>
      <c r="H47" s="493"/>
      <c r="I47" s="739"/>
      <c r="J47" s="739"/>
      <c r="K47" s="667"/>
      <c r="L47" s="365"/>
      <c r="M47" s="671"/>
      <c r="N47" s="370"/>
      <c r="O47" s="370"/>
      <c r="P47" s="370"/>
      <c r="Q47" s="370"/>
      <c r="R47" s="374"/>
      <c r="S47" s="374"/>
      <c r="T47" s="374"/>
      <c r="U47" s="374"/>
      <c r="V47" s="374"/>
    </row>
    <row r="48" spans="1:22" ht="15.5" x14ac:dyDescent="0.25">
      <c r="A48" s="365"/>
      <c r="B48" s="720">
        <v>110000080009</v>
      </c>
      <c r="C48" s="723">
        <v>44669</v>
      </c>
      <c r="D48" s="722">
        <v>44760</v>
      </c>
      <c r="E48" s="724" t="s">
        <v>510</v>
      </c>
      <c r="F48" s="725">
        <v>6226.3</v>
      </c>
      <c r="G48" s="564">
        <v>0.5</v>
      </c>
      <c r="H48" s="493">
        <v>31.13</v>
      </c>
      <c r="I48" s="564"/>
      <c r="J48" s="564"/>
      <c r="K48" s="714" t="s">
        <v>375</v>
      </c>
      <c r="L48" s="365"/>
      <c r="M48" s="413"/>
      <c r="N48" s="374"/>
      <c r="O48" s="370"/>
      <c r="P48" s="370"/>
      <c r="Q48" s="370"/>
      <c r="R48" s="374"/>
      <c r="S48" s="374"/>
      <c r="T48" s="374"/>
      <c r="U48" s="374"/>
      <c r="V48" s="374"/>
    </row>
    <row r="49" spans="1:22" ht="15.5" x14ac:dyDescent="0.25">
      <c r="A49" s="365"/>
      <c r="B49" s="728">
        <v>110000081801</v>
      </c>
      <c r="C49" s="377">
        <v>44741</v>
      </c>
      <c r="D49" s="377" t="s">
        <v>373</v>
      </c>
      <c r="E49" s="378" t="s">
        <v>374</v>
      </c>
      <c r="F49" s="727">
        <v>1280495</v>
      </c>
      <c r="G49" s="389">
        <v>0.75</v>
      </c>
      <c r="H49" s="493">
        <v>9603.7099999999991</v>
      </c>
      <c r="I49" s="389"/>
      <c r="J49" s="389"/>
      <c r="K49" s="714"/>
      <c r="L49" s="365"/>
      <c r="M49" s="413"/>
      <c r="N49" s="374"/>
      <c r="O49" s="370"/>
      <c r="P49" s="370"/>
      <c r="Q49" s="370"/>
      <c r="R49" s="374"/>
      <c r="S49" s="374"/>
      <c r="T49" s="374"/>
      <c r="U49" s="374"/>
      <c r="V49" s="374"/>
    </row>
    <row r="50" spans="1:22" ht="15.5" x14ac:dyDescent="0.25">
      <c r="A50" s="365"/>
      <c r="B50" s="744"/>
      <c r="C50" s="745"/>
      <c r="D50" s="745"/>
      <c r="E50" s="746"/>
      <c r="F50" s="710">
        <v>3252000</v>
      </c>
      <c r="G50" s="713">
        <v>0.4</v>
      </c>
      <c r="H50" s="493">
        <v>13008</v>
      </c>
      <c r="I50" s="747"/>
      <c r="J50" s="747"/>
      <c r="K50" s="718"/>
      <c r="L50" s="365"/>
      <c r="M50" s="413"/>
      <c r="N50" s="374"/>
      <c r="O50" s="370"/>
      <c r="P50" s="370"/>
      <c r="Q50" s="370"/>
      <c r="R50" s="374"/>
      <c r="S50" s="374"/>
      <c r="T50" s="374"/>
      <c r="U50" s="374"/>
      <c r="V50" s="374"/>
    </row>
    <row r="51" spans="1:22" ht="15.5" x14ac:dyDescent="0.25">
      <c r="A51" s="365"/>
      <c r="B51" s="744"/>
      <c r="C51" s="745"/>
      <c r="D51" s="745"/>
      <c r="E51" s="746"/>
      <c r="F51" s="566">
        <v>16000000</v>
      </c>
      <c r="G51" s="721">
        <v>0.5</v>
      </c>
      <c r="H51" s="493">
        <v>80000</v>
      </c>
      <c r="I51" s="750"/>
      <c r="J51" s="747"/>
      <c r="K51" s="718"/>
      <c r="L51" s="365"/>
      <c r="M51" s="413"/>
      <c r="N51" s="374"/>
      <c r="O51" s="370"/>
      <c r="P51" s="370"/>
      <c r="Q51" s="370"/>
      <c r="R51" s="374"/>
      <c r="S51" s="374"/>
      <c r="T51" s="374"/>
      <c r="U51" s="374"/>
      <c r="V51" s="374"/>
    </row>
    <row r="52" spans="1:22" ht="15.5" x14ac:dyDescent="0.25">
      <c r="A52" s="365"/>
      <c r="B52" s="744"/>
      <c r="C52" s="745"/>
      <c r="D52" s="745"/>
      <c r="E52" s="746"/>
      <c r="F52" s="566">
        <v>5799100</v>
      </c>
      <c r="G52" s="721">
        <v>0.75</v>
      </c>
      <c r="H52" s="493">
        <v>43493.25</v>
      </c>
      <c r="I52" s="747"/>
      <c r="J52" s="747"/>
      <c r="K52" s="718"/>
      <c r="L52" s="365"/>
      <c r="M52" s="413"/>
      <c r="N52" s="374"/>
      <c r="O52" s="370"/>
      <c r="P52" s="370"/>
      <c r="Q52" s="370"/>
      <c r="R52" s="374"/>
      <c r="S52" s="374"/>
      <c r="T52" s="374"/>
      <c r="U52" s="374"/>
      <c r="V52" s="374"/>
    </row>
    <row r="53" spans="1:22" ht="15.5" x14ac:dyDescent="0.25">
      <c r="A53" s="365"/>
      <c r="B53" s="744"/>
      <c r="C53" s="745"/>
      <c r="D53" s="745"/>
      <c r="E53" s="746"/>
      <c r="F53" s="566">
        <v>57993412.240000002</v>
      </c>
      <c r="G53" s="721">
        <v>0.75</v>
      </c>
      <c r="H53" s="493">
        <v>434950.59</v>
      </c>
      <c r="I53" s="747"/>
      <c r="J53" s="747"/>
      <c r="K53" s="718"/>
      <c r="L53" s="365"/>
      <c r="M53" s="413"/>
      <c r="N53" s="374"/>
      <c r="O53" s="370"/>
      <c r="P53" s="370"/>
      <c r="Q53" s="370"/>
      <c r="R53" s="374"/>
      <c r="S53" s="374"/>
      <c r="T53" s="374"/>
      <c r="U53" s="374"/>
      <c r="V53" s="374"/>
    </row>
    <row r="54" spans="1:22" ht="15.5" x14ac:dyDescent="0.35">
      <c r="A54" s="667"/>
      <c r="B54" s="703" t="s">
        <v>514</v>
      </c>
      <c r="C54" s="704"/>
      <c r="D54" s="704"/>
      <c r="E54" s="704"/>
      <c r="F54" s="704">
        <v>685435532</v>
      </c>
      <c r="G54" s="705"/>
      <c r="H54" s="748">
        <v>4903977.6399999997</v>
      </c>
      <c r="I54" s="666">
        <v>7.1999999999999998E-3</v>
      </c>
      <c r="J54" s="743"/>
      <c r="K54" s="673"/>
      <c r="L54" s="442"/>
      <c r="M54" s="442"/>
      <c r="N54" s="667"/>
      <c r="O54" s="667"/>
      <c r="P54" s="667"/>
      <c r="Q54" s="667"/>
      <c r="R54" s="667"/>
      <c r="S54" s="667"/>
      <c r="T54" s="667"/>
      <c r="U54" s="667"/>
      <c r="V54" s="667"/>
    </row>
    <row r="55" spans="1:22" ht="14.5" x14ac:dyDescent="0.35">
      <c r="A55" s="667"/>
      <c r="B55" s="706">
        <v>44778</v>
      </c>
      <c r="C55" s="707"/>
      <c r="D55" s="707"/>
      <c r="E55" s="707"/>
      <c r="F55" s="707"/>
      <c r="G55" s="708">
        <v>685435532</v>
      </c>
      <c r="H55" s="749"/>
      <c r="I55" s="707"/>
      <c r="J55" s="707"/>
      <c r="K55" s="667"/>
      <c r="L55" s="667"/>
      <c r="M55" s="667"/>
      <c r="N55" s="667"/>
      <c r="O55" s="667"/>
      <c r="P55" s="667"/>
      <c r="Q55" s="667"/>
      <c r="R55" s="667"/>
      <c r="S55" s="667"/>
      <c r="T55" s="667"/>
      <c r="U55" s="667"/>
      <c r="V55" s="667"/>
    </row>
    <row r="56" spans="1:22" ht="14.5" x14ac:dyDescent="0.35">
      <c r="A56" s="667"/>
      <c r="B56" s="1646" t="s">
        <v>515</v>
      </c>
      <c r="C56" s="1647"/>
      <c r="D56" s="1647" t="b">
        <v>0</v>
      </c>
      <c r="E56" s="1647"/>
      <c r="F56" s="1647"/>
      <c r="G56" s="1648"/>
      <c r="H56" s="451"/>
      <c r="I56" s="452"/>
      <c r="J56" s="452"/>
      <c r="K56" s="667"/>
      <c r="L56" s="667"/>
      <c r="M56" s="667"/>
      <c r="N56" s="667"/>
      <c r="O56" s="667"/>
      <c r="P56" s="667"/>
      <c r="Q56" s="667"/>
      <c r="R56" s="667"/>
      <c r="S56" s="667"/>
      <c r="T56" s="667"/>
      <c r="U56" s="667"/>
      <c r="V56" s="667"/>
    </row>
    <row r="57" spans="1:22" ht="14.5" x14ac:dyDescent="0.35">
      <c r="A57" s="667"/>
      <c r="B57" s="1646" t="s">
        <v>496</v>
      </c>
      <c r="C57" s="1647"/>
      <c r="D57" s="1647" t="s">
        <v>497</v>
      </c>
      <c r="E57" s="1647"/>
      <c r="F57" s="1647"/>
      <c r="G57" s="1648"/>
      <c r="H57" s="451"/>
      <c r="I57" s="452"/>
      <c r="J57" s="452"/>
      <c r="K57" s="667"/>
      <c r="L57" s="667"/>
      <c r="M57" s="667"/>
      <c r="N57" s="667"/>
      <c r="O57" s="667"/>
      <c r="P57" s="667"/>
      <c r="Q57" s="667"/>
      <c r="R57" s="667"/>
      <c r="S57" s="667"/>
      <c r="T57" s="667"/>
      <c r="U57" s="667"/>
      <c r="V57" s="667"/>
    </row>
    <row r="58" spans="1:22" ht="14.5" x14ac:dyDescent="0.35">
      <c r="A58" s="667"/>
      <c r="B58" s="1637" t="s">
        <v>516</v>
      </c>
      <c r="C58" s="1638"/>
      <c r="D58" s="1638" t="s">
        <v>517</v>
      </c>
      <c r="E58" s="1638"/>
      <c r="F58" s="1638"/>
      <c r="G58" s="1639"/>
      <c r="H58" s="451"/>
      <c r="I58" s="452"/>
      <c r="J58" s="452"/>
      <c r="K58" s="667"/>
      <c r="L58" s="667"/>
      <c r="M58" s="667"/>
      <c r="N58" s="667"/>
      <c r="O58" s="667"/>
      <c r="P58" s="667"/>
      <c r="Q58" s="667"/>
      <c r="R58" s="667"/>
      <c r="S58" s="667"/>
      <c r="T58" s="667"/>
      <c r="U58" s="667"/>
      <c r="V58" s="667"/>
    </row>
    <row r="59" spans="1:22" ht="15.5" x14ac:dyDescent="0.35">
      <c r="A59" s="667"/>
      <c r="B59" s="453"/>
      <c r="C59" s="453"/>
      <c r="D59" s="453"/>
      <c r="E59" s="453"/>
      <c r="F59" s="453"/>
      <c r="G59" s="453"/>
      <c r="H59" s="454"/>
      <c r="I59" s="453"/>
      <c r="J59" s="453"/>
      <c r="K59" s="667"/>
      <c r="L59" s="667"/>
      <c r="M59" s="667"/>
      <c r="N59" s="667"/>
      <c r="O59" s="667"/>
      <c r="P59" s="667"/>
      <c r="Q59" s="667"/>
      <c r="R59" s="667"/>
      <c r="S59" s="667"/>
      <c r="T59" s="667"/>
      <c r="U59" s="667"/>
      <c r="V59" s="667"/>
    </row>
  </sheetData>
  <mergeCells count="24">
    <mergeCell ref="D56:G56"/>
    <mergeCell ref="B56:C56"/>
    <mergeCell ref="D57:G57"/>
    <mergeCell ref="D58:G58"/>
    <mergeCell ref="B57:C57"/>
    <mergeCell ref="B58:C58"/>
    <mergeCell ref="B10:E10"/>
    <mergeCell ref="B36:E36"/>
    <mergeCell ref="B41:E41"/>
    <mergeCell ref="M6:R7"/>
    <mergeCell ref="M8:M9"/>
    <mergeCell ref="B6:B8"/>
    <mergeCell ref="C6:D7"/>
    <mergeCell ref="E6:E8"/>
    <mergeCell ref="F6:F7"/>
    <mergeCell ref="G6:G8"/>
    <mergeCell ref="K6:K8"/>
    <mergeCell ref="N1:R1"/>
    <mergeCell ref="B2:G2"/>
    <mergeCell ref="M2:R2"/>
    <mergeCell ref="B3:G3"/>
    <mergeCell ref="M3:M5"/>
    <mergeCell ref="B5:G5"/>
    <mergeCell ref="B4:G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V59"/>
  <sheetViews>
    <sheetView workbookViewId="0">
      <selection activeCell="N27" sqref="N27"/>
    </sheetView>
  </sheetViews>
  <sheetFormatPr baseColWidth="10" defaultRowHeight="12.5" x14ac:dyDescent="0.25"/>
  <cols>
    <col min="6" max="6" width="22.453125" customWidth="1"/>
    <col min="8" max="8" width="19" customWidth="1"/>
    <col min="9" max="9" width="23.26953125" customWidth="1"/>
  </cols>
  <sheetData>
    <row r="1" spans="1:22" ht="15.5" x14ac:dyDescent="0.25">
      <c r="A1" s="331"/>
      <c r="B1" s="546"/>
      <c r="C1" s="547"/>
      <c r="D1" s="547"/>
      <c r="E1" s="547"/>
      <c r="F1" s="547"/>
      <c r="G1" s="334" t="s">
        <v>518</v>
      </c>
      <c r="H1" s="335"/>
      <c r="I1" s="336"/>
      <c r="J1" s="336"/>
      <c r="K1" s="337"/>
      <c r="L1" s="337"/>
      <c r="M1" s="338"/>
      <c r="N1" s="1654"/>
      <c r="O1" s="1654"/>
      <c r="P1" s="1654"/>
      <c r="Q1" s="1654"/>
      <c r="R1" s="1654"/>
      <c r="S1" s="340"/>
      <c r="T1" s="340"/>
      <c r="U1" s="340"/>
      <c r="V1" s="340"/>
    </row>
    <row r="2" spans="1:22" ht="15.5" x14ac:dyDescent="0.25">
      <c r="A2" s="341"/>
      <c r="B2" s="1655" t="s">
        <v>0</v>
      </c>
      <c r="C2" s="1656"/>
      <c r="D2" s="1656"/>
      <c r="E2" s="1656"/>
      <c r="F2" s="1656"/>
      <c r="G2" s="1657"/>
      <c r="H2" s="343"/>
      <c r="I2" s="344"/>
      <c r="J2" s="344"/>
      <c r="K2" s="345"/>
      <c r="L2" s="345"/>
      <c r="M2" s="1658"/>
      <c r="N2" s="1658"/>
      <c r="O2" s="1658"/>
      <c r="P2" s="1658"/>
      <c r="Q2" s="1658"/>
      <c r="R2" s="1658"/>
      <c r="S2" s="346"/>
      <c r="T2" s="346"/>
      <c r="U2" s="346"/>
      <c r="V2" s="346"/>
    </row>
    <row r="3" spans="1:22" ht="15.5" x14ac:dyDescent="0.25">
      <c r="A3" s="347"/>
      <c r="B3" s="1659" t="s">
        <v>519</v>
      </c>
      <c r="C3" s="1660"/>
      <c r="D3" s="1660"/>
      <c r="E3" s="1660"/>
      <c r="F3" s="1660"/>
      <c r="G3" s="1661"/>
      <c r="H3" s="348"/>
      <c r="I3" s="349"/>
      <c r="J3" s="349"/>
      <c r="K3" s="350"/>
      <c r="L3" s="350"/>
      <c r="M3" s="1662"/>
      <c r="N3" s="351"/>
      <c r="O3" s="351"/>
      <c r="P3" s="351"/>
      <c r="Q3" s="351"/>
      <c r="R3" s="351"/>
      <c r="S3" s="346"/>
      <c r="T3" s="346"/>
      <c r="U3" s="346"/>
      <c r="V3" s="347"/>
    </row>
    <row r="4" spans="1:22" ht="15.5" x14ac:dyDescent="0.25">
      <c r="A4" s="347"/>
      <c r="B4" s="1659" t="s">
        <v>520</v>
      </c>
      <c r="C4" s="1660"/>
      <c r="D4" s="1660"/>
      <c r="E4" s="1660"/>
      <c r="F4" s="1660"/>
      <c r="G4" s="1661"/>
      <c r="H4" s="348"/>
      <c r="I4" s="349"/>
      <c r="J4" s="349"/>
      <c r="K4" s="350"/>
      <c r="L4" s="350"/>
      <c r="M4" s="1662"/>
      <c r="N4" s="351"/>
      <c r="O4" s="351"/>
      <c r="P4" s="351"/>
      <c r="Q4" s="351"/>
      <c r="R4" s="351"/>
      <c r="S4" s="346"/>
      <c r="T4" s="346"/>
      <c r="U4" s="346"/>
      <c r="V4" s="347"/>
    </row>
    <row r="5" spans="1:22" ht="15.5" x14ac:dyDescent="0.25">
      <c r="A5" s="341"/>
      <c r="B5" s="1663" t="s">
        <v>501</v>
      </c>
      <c r="C5" s="1664"/>
      <c r="D5" s="1664"/>
      <c r="E5" s="1664"/>
      <c r="F5" s="1664"/>
      <c r="G5" s="1665"/>
      <c r="H5" s="343"/>
      <c r="I5" s="344"/>
      <c r="J5" s="344"/>
      <c r="K5" s="350"/>
      <c r="L5" s="350"/>
      <c r="M5" s="1662"/>
      <c r="N5" s="353"/>
      <c r="O5" s="353"/>
      <c r="P5" s="345"/>
      <c r="Q5" s="345"/>
      <c r="R5" s="354"/>
      <c r="S5" s="346"/>
      <c r="T5" s="346"/>
      <c r="U5" s="346"/>
      <c r="V5" s="346"/>
    </row>
    <row r="6" spans="1:22" ht="15.5" x14ac:dyDescent="0.35">
      <c r="A6" s="355"/>
      <c r="B6" s="1649" t="s">
        <v>362</v>
      </c>
      <c r="C6" s="1651" t="s">
        <v>363</v>
      </c>
      <c r="D6" s="1652"/>
      <c r="E6" s="1649" t="s">
        <v>364</v>
      </c>
      <c r="F6" s="1649" t="s">
        <v>365</v>
      </c>
      <c r="G6" s="1649" t="s">
        <v>366</v>
      </c>
      <c r="H6" s="356"/>
      <c r="I6" s="357"/>
      <c r="J6" s="357"/>
      <c r="K6" s="1653" t="s">
        <v>367</v>
      </c>
      <c r="L6" s="667"/>
      <c r="M6" s="1640"/>
      <c r="N6" s="1640"/>
      <c r="O6" s="1640"/>
      <c r="P6" s="1640"/>
      <c r="Q6" s="1640"/>
      <c r="R6" s="1640"/>
      <c r="S6" s="667"/>
      <c r="T6" s="667"/>
      <c r="U6" s="667"/>
      <c r="V6" s="667"/>
    </row>
    <row r="7" spans="1:22" ht="15.5" x14ac:dyDescent="0.35">
      <c r="A7" s="355"/>
      <c r="B7" s="1649"/>
      <c r="C7" s="1651"/>
      <c r="D7" s="1652"/>
      <c r="E7" s="1649"/>
      <c r="F7" s="1649"/>
      <c r="G7" s="1649"/>
      <c r="H7" s="356"/>
      <c r="I7" s="357"/>
      <c r="J7" s="357"/>
      <c r="K7" s="1649"/>
      <c r="L7" s="667"/>
      <c r="M7" s="1640"/>
      <c r="N7" s="1640"/>
      <c r="O7" s="1640"/>
      <c r="P7" s="1640"/>
      <c r="Q7" s="1640"/>
      <c r="R7" s="1640"/>
      <c r="S7" s="667"/>
      <c r="T7" s="667"/>
      <c r="U7" s="667"/>
      <c r="V7" s="667"/>
    </row>
    <row r="8" spans="1:22" ht="15.5" x14ac:dyDescent="0.35">
      <c r="A8" s="355"/>
      <c r="B8" s="1650"/>
      <c r="C8" s="360" t="s">
        <v>368</v>
      </c>
      <c r="D8" s="361" t="s">
        <v>369</v>
      </c>
      <c r="E8" s="1650"/>
      <c r="F8" s="362" t="s">
        <v>370</v>
      </c>
      <c r="G8" s="1650"/>
      <c r="H8" s="363"/>
      <c r="I8" s="364"/>
      <c r="J8" s="364"/>
      <c r="K8" s="1650"/>
      <c r="L8" s="353"/>
      <c r="M8" s="354"/>
      <c r="N8" s="338"/>
      <c r="O8" s="338"/>
      <c r="P8" s="338"/>
      <c r="Q8" s="338"/>
      <c r="R8" s="338"/>
      <c r="S8" s="340"/>
      <c r="T8" s="667"/>
      <c r="U8" s="667"/>
      <c r="V8" s="667"/>
    </row>
    <row r="9" spans="1:22" ht="15.5" x14ac:dyDescent="0.25">
      <c r="A9" s="370"/>
      <c r="B9" s="548"/>
      <c r="C9" s="372"/>
      <c r="D9" s="372"/>
      <c r="E9" s="372"/>
      <c r="F9" s="373"/>
      <c r="G9" s="342"/>
      <c r="H9" s="343"/>
      <c r="I9" s="344"/>
      <c r="J9" s="344"/>
      <c r="K9" s="353"/>
      <c r="L9" s="353"/>
      <c r="M9" s="549"/>
      <c r="N9" s="550"/>
      <c r="O9" s="550"/>
      <c r="P9" s="550"/>
      <c r="Q9" s="550"/>
      <c r="R9" s="550"/>
      <c r="S9" s="374"/>
      <c r="T9" s="374"/>
      <c r="U9" s="374"/>
      <c r="V9" s="374"/>
    </row>
    <row r="10" spans="1:22" ht="15.5" x14ac:dyDescent="0.25">
      <c r="A10" s="520"/>
      <c r="B10" s="1692" t="s">
        <v>521</v>
      </c>
      <c r="C10" s="1693"/>
      <c r="D10" s="1693"/>
      <c r="E10" s="757" t="s">
        <v>101</v>
      </c>
      <c r="F10" s="758">
        <v>192698738.81</v>
      </c>
      <c r="G10" s="367"/>
      <c r="H10" s="368"/>
      <c r="I10" s="369"/>
      <c r="J10" s="369"/>
      <c r="K10" s="520"/>
      <c r="L10" s="520"/>
      <c r="M10" s="520"/>
      <c r="N10" s="520"/>
      <c r="O10" s="520"/>
      <c r="P10" s="520"/>
      <c r="Q10" s="520"/>
      <c r="R10" s="524"/>
      <c r="S10" s="524"/>
      <c r="T10" s="524"/>
      <c r="U10" s="524"/>
      <c r="V10" s="524"/>
    </row>
    <row r="11" spans="1:22" ht="15.5" x14ac:dyDescent="0.25">
      <c r="A11" s="520"/>
      <c r="B11" s="759" t="s">
        <v>522</v>
      </c>
      <c r="C11" s="685"/>
      <c r="D11" s="685"/>
      <c r="E11" s="534"/>
      <c r="F11" s="366">
        <v>175851107.56</v>
      </c>
      <c r="G11" s="367"/>
      <c r="H11" s="368"/>
      <c r="I11" s="369"/>
      <c r="J11" s="369"/>
      <c r="K11" s="365"/>
      <c r="L11" s="365"/>
      <c r="M11" s="337"/>
      <c r="N11" s="520"/>
      <c r="O11" s="520"/>
      <c r="P11" s="520"/>
      <c r="Q11" s="520"/>
      <c r="R11" s="524"/>
      <c r="S11" s="524"/>
      <c r="T11" s="524"/>
      <c r="U11" s="524"/>
      <c r="V11" s="524"/>
    </row>
    <row r="12" spans="1:22" ht="15.5" x14ac:dyDescent="0.25">
      <c r="A12" s="365"/>
      <c r="B12" s="759" t="s">
        <v>372</v>
      </c>
      <c r="C12" s="760"/>
      <c r="D12" s="760"/>
      <c r="E12" s="761"/>
      <c r="F12" s="366">
        <v>142787729.41</v>
      </c>
      <c r="G12" s="367"/>
      <c r="H12" s="368"/>
      <c r="I12" s="369"/>
      <c r="J12" s="369"/>
      <c r="K12" s="365"/>
      <c r="L12" s="365"/>
      <c r="M12" s="520"/>
      <c r="N12" s="520"/>
      <c r="O12" s="520"/>
      <c r="P12" s="520"/>
      <c r="Q12" s="520"/>
      <c r="R12" s="524"/>
      <c r="S12" s="524"/>
      <c r="T12" s="524"/>
      <c r="U12" s="524"/>
      <c r="V12" s="524"/>
    </row>
    <row r="13" spans="1:22" ht="15.5" x14ac:dyDescent="0.25">
      <c r="A13" s="365"/>
      <c r="B13" s="711">
        <v>150000119564</v>
      </c>
      <c r="C13" s="488">
        <v>44742</v>
      </c>
      <c r="D13" s="489">
        <v>44743</v>
      </c>
      <c r="E13" s="490" t="s">
        <v>393</v>
      </c>
      <c r="F13" s="491">
        <v>44362183.299999997</v>
      </c>
      <c r="G13" s="492">
        <v>0.4</v>
      </c>
      <c r="H13" s="493">
        <v>177448.73</v>
      </c>
      <c r="I13" s="779">
        <v>8.7500000000000008E-3</v>
      </c>
      <c r="J13" s="492"/>
      <c r="K13" s="712" t="s">
        <v>375</v>
      </c>
      <c r="L13" s="426"/>
      <c r="M13" s="365"/>
      <c r="N13" s="365"/>
      <c r="O13" s="365"/>
      <c r="P13" s="365"/>
      <c r="Q13" s="365"/>
      <c r="R13" s="353"/>
      <c r="S13" s="353"/>
      <c r="T13" s="353"/>
      <c r="U13" s="353"/>
      <c r="V13" s="353"/>
    </row>
    <row r="14" spans="1:22" ht="15.5" x14ac:dyDescent="0.25">
      <c r="A14" s="365"/>
      <c r="B14" s="711">
        <v>150000119600</v>
      </c>
      <c r="C14" s="488">
        <v>44742</v>
      </c>
      <c r="D14" s="489">
        <v>44743</v>
      </c>
      <c r="E14" s="490" t="s">
        <v>393</v>
      </c>
      <c r="F14" s="491">
        <v>17476982.34</v>
      </c>
      <c r="G14" s="492">
        <v>0.4</v>
      </c>
      <c r="H14" s="493">
        <v>69907.929999999993</v>
      </c>
      <c r="I14" s="492"/>
      <c r="J14" s="492"/>
      <c r="K14" s="712"/>
      <c r="L14" s="426"/>
      <c r="M14" s="365"/>
      <c r="N14" s="365"/>
      <c r="O14" s="365"/>
      <c r="P14" s="365"/>
      <c r="Q14" s="365"/>
      <c r="R14" s="353"/>
      <c r="S14" s="353"/>
      <c r="T14" s="353"/>
      <c r="U14" s="353"/>
      <c r="V14" s="353"/>
    </row>
    <row r="15" spans="1:22" ht="15.5" x14ac:dyDescent="0.25">
      <c r="A15" s="365"/>
      <c r="B15" s="711">
        <v>150000119647</v>
      </c>
      <c r="C15" s="488">
        <v>44742</v>
      </c>
      <c r="D15" s="489">
        <v>44743</v>
      </c>
      <c r="E15" s="490" t="s">
        <v>393</v>
      </c>
      <c r="F15" s="491">
        <v>1461596</v>
      </c>
      <c r="G15" s="492">
        <v>0.4</v>
      </c>
      <c r="H15" s="493">
        <v>5846.38</v>
      </c>
      <c r="I15" s="492"/>
      <c r="J15" s="492"/>
      <c r="K15" s="773" t="s">
        <v>523</v>
      </c>
      <c r="L15" s="426"/>
      <c r="M15" s="365"/>
      <c r="N15" s="365"/>
      <c r="O15" s="365"/>
      <c r="P15" s="365"/>
      <c r="Q15" s="365"/>
      <c r="R15" s="353"/>
      <c r="S15" s="353"/>
      <c r="T15" s="353"/>
      <c r="U15" s="353"/>
      <c r="V15" s="353"/>
    </row>
    <row r="16" spans="1:22" ht="15.5" x14ac:dyDescent="0.25">
      <c r="A16" s="392"/>
      <c r="B16" s="720">
        <v>110000080116</v>
      </c>
      <c r="C16" s="615">
        <v>44676</v>
      </c>
      <c r="D16" s="615">
        <v>44767</v>
      </c>
      <c r="E16" s="554" t="s">
        <v>510</v>
      </c>
      <c r="F16" s="566">
        <v>52347564.170000002</v>
      </c>
      <c r="G16" s="721">
        <v>0.5</v>
      </c>
      <c r="H16" s="493">
        <v>261737.82</v>
      </c>
      <c r="I16" s="721"/>
      <c r="J16" s="721"/>
      <c r="K16" s="773" t="s">
        <v>523</v>
      </c>
      <c r="L16" s="774"/>
      <c r="M16" s="392"/>
      <c r="N16" s="392"/>
      <c r="O16" s="392"/>
      <c r="P16" s="392"/>
      <c r="Q16" s="392"/>
      <c r="R16" s="393"/>
      <c r="S16" s="393"/>
      <c r="T16" s="393"/>
      <c r="U16" s="393"/>
      <c r="V16" s="393"/>
    </row>
    <row r="17" spans="1:22" ht="15.5" x14ac:dyDescent="0.25">
      <c r="A17" s="392"/>
      <c r="B17" s="775">
        <v>110000081946</v>
      </c>
      <c r="C17" s="594">
        <v>44741</v>
      </c>
      <c r="D17" s="594">
        <v>44771</v>
      </c>
      <c r="E17" s="595" t="s">
        <v>524</v>
      </c>
      <c r="F17" s="596">
        <v>5283191.78</v>
      </c>
      <c r="G17" s="597">
        <v>0.6</v>
      </c>
      <c r="H17" s="493">
        <v>31699.15</v>
      </c>
      <c r="I17" s="597"/>
      <c r="J17" s="597"/>
      <c r="K17" s="773" t="s">
        <v>523</v>
      </c>
      <c r="L17" s="774"/>
      <c r="M17" s="392"/>
      <c r="N17" s="392"/>
      <c r="O17" s="392"/>
      <c r="P17" s="392"/>
      <c r="Q17" s="392"/>
      <c r="R17" s="393"/>
      <c r="S17" s="393"/>
      <c r="T17" s="393"/>
      <c r="U17" s="393"/>
      <c r="V17" s="393"/>
    </row>
    <row r="18" spans="1:22" ht="15.5" x14ac:dyDescent="0.25">
      <c r="A18" s="520"/>
      <c r="B18" s="753">
        <v>110000058090</v>
      </c>
      <c r="C18" s="406">
        <v>43150</v>
      </c>
      <c r="D18" s="406">
        <v>45707</v>
      </c>
      <c r="E18" s="410" t="s">
        <v>381</v>
      </c>
      <c r="F18" s="411">
        <v>9411663.8200000003</v>
      </c>
      <c r="G18" s="412">
        <v>3.15</v>
      </c>
      <c r="H18" s="493">
        <v>296467.40999999997</v>
      </c>
      <c r="I18" s="412"/>
      <c r="J18" s="412"/>
      <c r="K18" s="712" t="s">
        <v>375</v>
      </c>
      <c r="L18" s="405" t="s">
        <v>466</v>
      </c>
      <c r="M18" s="520"/>
      <c r="N18" s="520"/>
      <c r="O18" s="520"/>
      <c r="P18" s="520"/>
      <c r="Q18" s="520"/>
      <c r="R18" s="524"/>
      <c r="S18" s="524"/>
      <c r="T18" s="524"/>
      <c r="U18" s="524"/>
      <c r="V18" s="524"/>
    </row>
    <row r="19" spans="1:22" ht="15.5" x14ac:dyDescent="0.25">
      <c r="A19" s="365"/>
      <c r="B19" s="498">
        <v>110000053324</v>
      </c>
      <c r="C19" s="607">
        <v>42916</v>
      </c>
      <c r="D19" s="500">
        <v>45838</v>
      </c>
      <c r="E19" s="516" t="s">
        <v>383</v>
      </c>
      <c r="F19" s="411">
        <v>9698013.7899999991</v>
      </c>
      <c r="G19" s="502">
        <v>3.25</v>
      </c>
      <c r="H19" s="493">
        <v>315185.45</v>
      </c>
      <c r="I19" s="502"/>
      <c r="J19" s="502"/>
      <c r="K19" s="712" t="s">
        <v>375</v>
      </c>
      <c r="L19" s="365" t="s">
        <v>397</v>
      </c>
      <c r="M19" s="365"/>
      <c r="N19" s="370"/>
      <c r="O19" s="370"/>
      <c r="P19" s="370"/>
      <c r="Q19" s="370"/>
      <c r="R19" s="374"/>
      <c r="S19" s="374"/>
      <c r="T19" s="374"/>
      <c r="U19" s="374"/>
      <c r="V19" s="374"/>
    </row>
    <row r="20" spans="1:22" ht="15.5" x14ac:dyDescent="0.25">
      <c r="A20" s="365"/>
      <c r="B20" s="752">
        <v>110000058607</v>
      </c>
      <c r="C20" s="407" t="s">
        <v>398</v>
      </c>
      <c r="D20" s="401">
        <v>46020</v>
      </c>
      <c r="E20" s="402" t="s">
        <v>383</v>
      </c>
      <c r="F20" s="411">
        <v>2746534.21</v>
      </c>
      <c r="G20" s="404">
        <v>3.3</v>
      </c>
      <c r="H20" s="493">
        <v>90635.63</v>
      </c>
      <c r="I20" s="404"/>
      <c r="J20" s="404"/>
      <c r="K20" s="712" t="s">
        <v>375</v>
      </c>
      <c r="L20" s="365" t="s">
        <v>400</v>
      </c>
      <c r="M20" s="365"/>
      <c r="N20" s="365"/>
      <c r="O20" s="365"/>
      <c r="P20" s="365"/>
      <c r="Q20" s="365"/>
      <c r="R20" s="353"/>
      <c r="S20" s="353"/>
      <c r="T20" s="353"/>
      <c r="U20" s="353"/>
      <c r="V20" s="353"/>
    </row>
    <row r="21" spans="1:22" ht="15.5" x14ac:dyDescent="0.25">
      <c r="A21" s="365"/>
      <c r="B21" s="754" t="s">
        <v>401</v>
      </c>
      <c r="C21" s="755"/>
      <c r="D21" s="756"/>
      <c r="E21" s="755"/>
      <c r="F21" s="480">
        <v>33063378.149999999</v>
      </c>
      <c r="G21" s="701"/>
      <c r="H21" s="493">
        <v>1248928.5</v>
      </c>
      <c r="I21" s="739"/>
      <c r="J21" s="739"/>
      <c r="K21" s="365"/>
      <c r="L21" s="365"/>
      <c r="M21" s="520"/>
      <c r="N21" s="520"/>
      <c r="O21" s="520"/>
      <c r="P21" s="520"/>
      <c r="Q21" s="520"/>
      <c r="R21" s="524"/>
      <c r="S21" s="524"/>
      <c r="T21" s="524"/>
      <c r="U21" s="524"/>
      <c r="V21" s="524"/>
    </row>
    <row r="22" spans="1:22" ht="15.5" x14ac:dyDescent="0.25">
      <c r="A22" s="520"/>
      <c r="B22" s="511" t="s">
        <v>525</v>
      </c>
      <c r="C22" s="400">
        <v>42227</v>
      </c>
      <c r="D22" s="400">
        <v>44782</v>
      </c>
      <c r="E22" s="516" t="s">
        <v>381</v>
      </c>
      <c r="F22" s="411">
        <v>961652.59</v>
      </c>
      <c r="G22" s="412">
        <v>4.8125</v>
      </c>
      <c r="H22" s="493">
        <v>46279.53</v>
      </c>
      <c r="I22" s="781">
        <v>3.6782000000000002E-2</v>
      </c>
      <c r="J22" s="412"/>
      <c r="K22" s="712" t="s">
        <v>375</v>
      </c>
      <c r="L22" s="365"/>
      <c r="M22" s="337"/>
      <c r="N22" s="520"/>
      <c r="O22" s="520"/>
      <c r="P22" s="520"/>
      <c r="Q22" s="520"/>
      <c r="R22" s="524"/>
      <c r="S22" s="524"/>
      <c r="T22" s="524"/>
      <c r="U22" s="524"/>
      <c r="V22" s="524"/>
    </row>
    <row r="23" spans="1:22" ht="15.5" x14ac:dyDescent="0.25">
      <c r="A23" s="520"/>
      <c r="B23" s="511" t="s">
        <v>526</v>
      </c>
      <c r="C23" s="400">
        <v>42599</v>
      </c>
      <c r="D23" s="400">
        <v>45155</v>
      </c>
      <c r="E23" s="516" t="s">
        <v>381</v>
      </c>
      <c r="F23" s="411">
        <v>1018418.66</v>
      </c>
      <c r="G23" s="412">
        <v>4.8</v>
      </c>
      <c r="H23" s="493">
        <v>48884.1</v>
      </c>
      <c r="I23" s="412"/>
      <c r="J23" s="412"/>
      <c r="K23" s="712" t="s">
        <v>375</v>
      </c>
      <c r="L23" s="365"/>
      <c r="M23" s="337"/>
      <c r="N23" s="520"/>
      <c r="O23" s="520"/>
      <c r="P23" s="520"/>
      <c r="Q23" s="520"/>
      <c r="R23" s="524"/>
      <c r="S23" s="524"/>
      <c r="T23" s="524"/>
      <c r="U23" s="524"/>
      <c r="V23" s="524"/>
    </row>
    <row r="24" spans="1:22" ht="15.5" x14ac:dyDescent="0.25">
      <c r="A24" s="609"/>
      <c r="B24" s="511" t="s">
        <v>527</v>
      </c>
      <c r="C24" s="400">
        <v>44075</v>
      </c>
      <c r="D24" s="400">
        <v>45168</v>
      </c>
      <c r="E24" s="516" t="s">
        <v>477</v>
      </c>
      <c r="F24" s="411">
        <v>21219665.16</v>
      </c>
      <c r="G24" s="412">
        <v>3</v>
      </c>
      <c r="H24" s="493">
        <v>636589.94999999995</v>
      </c>
      <c r="I24" s="412"/>
      <c r="J24" s="412"/>
      <c r="K24" s="712" t="s">
        <v>375</v>
      </c>
      <c r="L24" s="640"/>
      <c r="M24" s="772"/>
      <c r="N24" s="609"/>
      <c r="O24" s="609"/>
      <c r="P24" s="609"/>
      <c r="Q24" s="609"/>
      <c r="R24" s="611"/>
      <c r="S24" s="611"/>
      <c r="T24" s="611"/>
      <c r="U24" s="611"/>
      <c r="V24" s="611"/>
    </row>
    <row r="25" spans="1:22" ht="15.5" x14ac:dyDescent="0.25">
      <c r="A25" s="520"/>
      <c r="B25" s="511" t="s">
        <v>528</v>
      </c>
      <c r="C25" s="400">
        <v>43340</v>
      </c>
      <c r="D25" s="400">
        <v>45530</v>
      </c>
      <c r="E25" s="516" t="s">
        <v>379</v>
      </c>
      <c r="F25" s="521">
        <v>97652.59</v>
      </c>
      <c r="G25" s="412">
        <v>4.875</v>
      </c>
      <c r="H25" s="493">
        <v>4760.5600000000004</v>
      </c>
      <c r="I25" s="412"/>
      <c r="J25" s="412"/>
      <c r="K25" s="712" t="s">
        <v>375</v>
      </c>
      <c r="L25" s="365" t="s">
        <v>480</v>
      </c>
      <c r="M25" s="520"/>
      <c r="N25" s="520"/>
      <c r="O25" s="520"/>
      <c r="P25" s="520"/>
      <c r="Q25" s="524"/>
      <c r="R25" s="524"/>
      <c r="S25" s="524"/>
      <c r="T25" s="524"/>
      <c r="U25" s="524"/>
      <c r="V25" s="520"/>
    </row>
    <row r="26" spans="1:22" ht="15.5" x14ac:dyDescent="0.25">
      <c r="A26" s="365"/>
      <c r="B26" s="511" t="s">
        <v>529</v>
      </c>
      <c r="C26" s="400">
        <v>43017</v>
      </c>
      <c r="D26" s="406">
        <v>45574</v>
      </c>
      <c r="E26" s="410" t="s">
        <v>381</v>
      </c>
      <c r="F26" s="411">
        <v>2364964.0499999998</v>
      </c>
      <c r="G26" s="404">
        <v>4.5</v>
      </c>
      <c r="H26" s="493">
        <v>106423.38</v>
      </c>
      <c r="I26" s="404"/>
      <c r="J26" s="404"/>
      <c r="K26" s="712" t="s">
        <v>375</v>
      </c>
      <c r="L26" s="365"/>
      <c r="M26" s="365"/>
      <c r="N26" s="370"/>
      <c r="O26" s="370"/>
      <c r="P26" s="370"/>
      <c r="Q26" s="370"/>
      <c r="R26" s="374"/>
      <c r="S26" s="374"/>
      <c r="T26" s="374"/>
      <c r="U26" s="374"/>
      <c r="V26" s="374"/>
    </row>
    <row r="27" spans="1:22" ht="15.5" x14ac:dyDescent="0.25">
      <c r="A27" s="365"/>
      <c r="B27" s="511" t="s">
        <v>530</v>
      </c>
      <c r="C27" s="400">
        <v>43511</v>
      </c>
      <c r="D27" s="406">
        <v>45702</v>
      </c>
      <c r="E27" s="410" t="s">
        <v>379</v>
      </c>
      <c r="F27" s="411">
        <v>274883.67</v>
      </c>
      <c r="G27" s="404">
        <v>5</v>
      </c>
      <c r="H27" s="493">
        <v>13744.18</v>
      </c>
      <c r="I27" s="404"/>
      <c r="J27" s="404"/>
      <c r="K27" s="712" t="s">
        <v>375</v>
      </c>
      <c r="L27" s="365" t="s">
        <v>420</v>
      </c>
      <c r="M27" s="365"/>
      <c r="N27" s="370"/>
      <c r="O27" s="370"/>
      <c r="P27" s="370"/>
      <c r="Q27" s="370"/>
      <c r="R27" s="374"/>
      <c r="S27" s="374"/>
      <c r="T27" s="374"/>
      <c r="U27" s="374"/>
      <c r="V27" s="374"/>
    </row>
    <row r="28" spans="1:22" ht="15.5" x14ac:dyDescent="0.25">
      <c r="A28" s="365"/>
      <c r="B28" s="511" t="s">
        <v>531</v>
      </c>
      <c r="C28" s="400">
        <v>43403</v>
      </c>
      <c r="D28" s="406">
        <v>45960</v>
      </c>
      <c r="E28" s="410" t="s">
        <v>381</v>
      </c>
      <c r="F28" s="411">
        <v>4617859.83</v>
      </c>
      <c r="G28" s="404">
        <v>5</v>
      </c>
      <c r="H28" s="493">
        <v>230892.99</v>
      </c>
      <c r="I28" s="404"/>
      <c r="J28" s="404"/>
      <c r="K28" s="712" t="s">
        <v>375</v>
      </c>
      <c r="L28" s="365" t="s">
        <v>532</v>
      </c>
      <c r="M28" s="365"/>
      <c r="N28" s="370"/>
      <c r="O28" s="370"/>
      <c r="P28" s="370"/>
      <c r="Q28" s="370"/>
      <c r="R28" s="374"/>
      <c r="S28" s="374"/>
      <c r="T28" s="374"/>
      <c r="U28" s="374"/>
      <c r="V28" s="374"/>
    </row>
    <row r="29" spans="1:22" ht="15.5" x14ac:dyDescent="0.25">
      <c r="A29" s="520"/>
      <c r="B29" s="511" t="s">
        <v>533</v>
      </c>
      <c r="C29" s="400">
        <v>43434</v>
      </c>
      <c r="D29" s="400">
        <v>45988</v>
      </c>
      <c r="E29" s="410" t="s">
        <v>381</v>
      </c>
      <c r="F29" s="411">
        <v>1760000</v>
      </c>
      <c r="G29" s="412">
        <v>5.125</v>
      </c>
      <c r="H29" s="493">
        <v>90200</v>
      </c>
      <c r="I29" s="412"/>
      <c r="J29" s="412"/>
      <c r="K29" s="712" t="s">
        <v>375</v>
      </c>
      <c r="L29" s="365" t="s">
        <v>451</v>
      </c>
      <c r="M29" s="520"/>
      <c r="N29" s="520"/>
      <c r="O29" s="520"/>
      <c r="P29" s="520"/>
      <c r="Q29" s="520"/>
      <c r="R29" s="524"/>
      <c r="S29" s="524"/>
      <c r="T29" s="524"/>
      <c r="U29" s="524"/>
      <c r="V29" s="524"/>
    </row>
    <row r="30" spans="1:22" ht="15.5" x14ac:dyDescent="0.25">
      <c r="A30" s="520"/>
      <c r="B30" s="511" t="s">
        <v>534</v>
      </c>
      <c r="C30" s="400">
        <v>43452</v>
      </c>
      <c r="D30" s="400">
        <v>46007</v>
      </c>
      <c r="E30" s="410" t="s">
        <v>381</v>
      </c>
      <c r="F30" s="411">
        <v>748281.6</v>
      </c>
      <c r="G30" s="412">
        <v>5.125</v>
      </c>
      <c r="H30" s="493">
        <v>38349.43</v>
      </c>
      <c r="I30" s="412"/>
      <c r="J30" s="412"/>
      <c r="K30" s="712" t="s">
        <v>375</v>
      </c>
      <c r="L30" s="405" t="s">
        <v>453</v>
      </c>
      <c r="M30" s="520"/>
      <c r="N30" s="520"/>
      <c r="O30" s="520"/>
      <c r="P30" s="520"/>
      <c r="Q30" s="520"/>
      <c r="R30" s="524"/>
      <c r="S30" s="524"/>
      <c r="T30" s="524"/>
      <c r="U30" s="524"/>
      <c r="V30" s="524"/>
    </row>
    <row r="31" spans="1:22" ht="15.5" x14ac:dyDescent="0.25">
      <c r="A31" s="365"/>
      <c r="B31" s="762" t="s">
        <v>535</v>
      </c>
      <c r="C31" s="755"/>
      <c r="D31" s="755"/>
      <c r="E31" s="755"/>
      <c r="F31" s="763">
        <v>16847631.25</v>
      </c>
      <c r="G31" s="701"/>
      <c r="H31" s="493">
        <v>1216124.1200000001</v>
      </c>
      <c r="I31" s="739"/>
      <c r="J31" s="739"/>
      <c r="K31" s="365"/>
      <c r="L31" s="365"/>
      <c r="M31" s="520"/>
      <c r="N31" s="520"/>
      <c r="O31" s="520"/>
      <c r="P31" s="520"/>
      <c r="Q31" s="520"/>
      <c r="R31" s="524"/>
      <c r="S31" s="524"/>
      <c r="T31" s="524"/>
      <c r="U31" s="524"/>
      <c r="V31" s="524"/>
    </row>
    <row r="32" spans="1:22" ht="15.5" x14ac:dyDescent="0.25">
      <c r="A32" s="638"/>
      <c r="B32" s="764" t="s">
        <v>372</v>
      </c>
      <c r="C32" s="756"/>
      <c r="D32" s="756"/>
      <c r="E32" s="756"/>
      <c r="F32" s="480">
        <v>12537248.98</v>
      </c>
      <c r="G32" s="481"/>
      <c r="H32" s="493"/>
      <c r="I32" s="739"/>
      <c r="J32" s="739"/>
      <c r="K32" s="365"/>
      <c r="L32" s="365"/>
      <c r="M32" s="520"/>
      <c r="N32" s="520"/>
      <c r="O32" s="520"/>
      <c r="P32" s="520"/>
      <c r="Q32" s="520"/>
      <c r="R32" s="524"/>
      <c r="S32" s="524"/>
      <c r="T32" s="524"/>
      <c r="U32" s="524"/>
      <c r="V32" s="524"/>
    </row>
    <row r="33" spans="1:22" ht="15.5" x14ac:dyDescent="0.25">
      <c r="A33" s="365"/>
      <c r="B33" s="711">
        <v>150000119564</v>
      </c>
      <c r="C33" s="488">
        <v>44742</v>
      </c>
      <c r="D33" s="489">
        <v>44743</v>
      </c>
      <c r="E33" s="490" t="s">
        <v>393</v>
      </c>
      <c r="F33" s="491">
        <v>4606464.34</v>
      </c>
      <c r="G33" s="492">
        <v>0.4</v>
      </c>
      <c r="H33" s="493">
        <v>18425.86</v>
      </c>
      <c r="I33" s="782">
        <v>8.2045699999999996E-3</v>
      </c>
      <c r="J33" s="492"/>
      <c r="K33" s="712" t="s">
        <v>375</v>
      </c>
      <c r="L33" s="426"/>
      <c r="M33" s="365"/>
      <c r="N33" s="365"/>
      <c r="O33" s="365"/>
      <c r="P33" s="365"/>
      <c r="Q33" s="365"/>
      <c r="R33" s="353"/>
      <c r="S33" s="353"/>
      <c r="T33" s="353"/>
      <c r="U33" s="353"/>
      <c r="V33" s="353"/>
    </row>
    <row r="34" spans="1:22" ht="15.5" x14ac:dyDescent="0.25">
      <c r="A34" s="365"/>
      <c r="B34" s="711">
        <v>150000119600</v>
      </c>
      <c r="C34" s="488">
        <v>44742</v>
      </c>
      <c r="D34" s="489">
        <v>44743</v>
      </c>
      <c r="E34" s="490" t="s">
        <v>393</v>
      </c>
      <c r="F34" s="491">
        <v>1814768.57</v>
      </c>
      <c r="G34" s="492">
        <v>0.4</v>
      </c>
      <c r="H34" s="493">
        <v>7259.07</v>
      </c>
      <c r="I34" s="492"/>
      <c r="J34" s="492"/>
      <c r="K34" s="712" t="s">
        <v>375</v>
      </c>
      <c r="L34" s="426"/>
      <c r="M34" s="365"/>
      <c r="N34" s="365"/>
      <c r="O34" s="365"/>
      <c r="P34" s="365"/>
      <c r="Q34" s="365"/>
      <c r="R34" s="353"/>
      <c r="S34" s="353"/>
      <c r="T34" s="353"/>
      <c r="U34" s="353"/>
      <c r="V34" s="353"/>
    </row>
    <row r="35" spans="1:22" ht="15.5" x14ac:dyDescent="0.25">
      <c r="A35" s="365"/>
      <c r="B35" s="711">
        <v>150000119656</v>
      </c>
      <c r="C35" s="488">
        <v>44742</v>
      </c>
      <c r="D35" s="489">
        <v>44743</v>
      </c>
      <c r="E35" s="490" t="s">
        <v>393</v>
      </c>
      <c r="F35" s="491">
        <v>110850</v>
      </c>
      <c r="G35" s="492">
        <v>0.4</v>
      </c>
      <c r="H35" s="493">
        <v>443.4</v>
      </c>
      <c r="I35" s="492"/>
      <c r="J35" s="492"/>
      <c r="K35" s="714" t="s">
        <v>536</v>
      </c>
      <c r="L35" s="426"/>
      <c r="M35" s="365"/>
      <c r="N35" s="365"/>
      <c r="O35" s="365"/>
      <c r="P35" s="365"/>
      <c r="Q35" s="365"/>
      <c r="R35" s="353"/>
      <c r="S35" s="353"/>
      <c r="T35" s="353"/>
      <c r="U35" s="353"/>
      <c r="V35" s="353"/>
    </row>
    <row r="36" spans="1:22" ht="15.5" x14ac:dyDescent="0.25">
      <c r="A36" s="365"/>
      <c r="B36" s="720">
        <v>110000080125</v>
      </c>
      <c r="C36" s="615">
        <v>44676</v>
      </c>
      <c r="D36" s="615">
        <v>44767</v>
      </c>
      <c r="E36" s="554" t="s">
        <v>510</v>
      </c>
      <c r="F36" s="566">
        <v>3450958.6</v>
      </c>
      <c r="G36" s="721">
        <v>0.5</v>
      </c>
      <c r="H36" s="493">
        <v>17254.79</v>
      </c>
      <c r="I36" s="721"/>
      <c r="J36" s="721"/>
      <c r="K36" s="714" t="s">
        <v>536</v>
      </c>
      <c r="L36" s="552"/>
      <c r="M36" s="365"/>
      <c r="N36" s="365"/>
      <c r="O36" s="365"/>
      <c r="P36" s="365"/>
      <c r="Q36" s="365"/>
      <c r="R36" s="353"/>
      <c r="S36" s="353"/>
      <c r="T36" s="353"/>
      <c r="U36" s="353"/>
      <c r="V36" s="353"/>
    </row>
    <row r="37" spans="1:22" ht="15.5" x14ac:dyDescent="0.25">
      <c r="A37" s="365"/>
      <c r="B37" s="775">
        <v>110000081955</v>
      </c>
      <c r="C37" s="594">
        <v>44741</v>
      </c>
      <c r="D37" s="594">
        <v>44771</v>
      </c>
      <c r="E37" s="595" t="s">
        <v>524</v>
      </c>
      <c r="F37" s="596">
        <v>863871.76</v>
      </c>
      <c r="G37" s="597">
        <v>0.6</v>
      </c>
      <c r="H37" s="493">
        <v>5183.2299999999996</v>
      </c>
      <c r="I37" s="597"/>
      <c r="J37" s="597"/>
      <c r="K37" s="714" t="s">
        <v>536</v>
      </c>
      <c r="L37" s="552"/>
      <c r="M37" s="365"/>
      <c r="N37" s="365"/>
      <c r="O37" s="365"/>
      <c r="P37" s="365"/>
      <c r="Q37" s="365"/>
      <c r="R37" s="353"/>
      <c r="S37" s="353"/>
      <c r="T37" s="353"/>
      <c r="U37" s="353"/>
      <c r="V37" s="353"/>
    </row>
    <row r="38" spans="1:22" ht="15.5" x14ac:dyDescent="0.25">
      <c r="A38" s="520"/>
      <c r="B38" s="753">
        <v>110000058115</v>
      </c>
      <c r="C38" s="406" t="s">
        <v>537</v>
      </c>
      <c r="D38" s="406">
        <v>45707</v>
      </c>
      <c r="E38" s="410" t="s">
        <v>381</v>
      </c>
      <c r="F38" s="411">
        <v>747863.42</v>
      </c>
      <c r="G38" s="412">
        <v>3.15</v>
      </c>
      <c r="H38" s="493">
        <v>23557.7</v>
      </c>
      <c r="I38" s="412"/>
      <c r="J38" s="412"/>
      <c r="K38" s="712" t="s">
        <v>375</v>
      </c>
      <c r="L38" s="405" t="s">
        <v>538</v>
      </c>
      <c r="M38" s="520"/>
      <c r="N38" s="520"/>
      <c r="O38" s="520"/>
      <c r="P38" s="520"/>
      <c r="Q38" s="520"/>
      <c r="R38" s="524"/>
      <c r="S38" s="524"/>
      <c r="T38" s="524"/>
      <c r="U38" s="524"/>
      <c r="V38" s="524"/>
    </row>
    <row r="39" spans="1:22" ht="15.5" x14ac:dyDescent="0.25">
      <c r="A39" s="365"/>
      <c r="B39" s="752">
        <v>110000053333</v>
      </c>
      <c r="C39" s="407">
        <v>42916</v>
      </c>
      <c r="D39" s="401">
        <v>45838</v>
      </c>
      <c r="E39" s="516" t="s">
        <v>383</v>
      </c>
      <c r="F39" s="411">
        <v>725842.91</v>
      </c>
      <c r="G39" s="502">
        <v>3.25</v>
      </c>
      <c r="H39" s="493">
        <v>23589.89</v>
      </c>
      <c r="I39" s="502"/>
      <c r="J39" s="502"/>
      <c r="K39" s="712" t="s">
        <v>375</v>
      </c>
      <c r="L39" s="365" t="s">
        <v>397</v>
      </c>
      <c r="M39" s="365"/>
      <c r="N39" s="370"/>
      <c r="O39" s="370"/>
      <c r="P39" s="370"/>
      <c r="Q39" s="370"/>
      <c r="R39" s="374"/>
      <c r="S39" s="374"/>
      <c r="T39" s="374"/>
      <c r="U39" s="374"/>
      <c r="V39" s="374"/>
    </row>
    <row r="40" spans="1:22" ht="15.5" x14ac:dyDescent="0.25">
      <c r="A40" s="365"/>
      <c r="B40" s="752">
        <v>110000058616</v>
      </c>
      <c r="C40" s="407" t="s">
        <v>398</v>
      </c>
      <c r="D40" s="401">
        <v>46020</v>
      </c>
      <c r="E40" s="402" t="s">
        <v>383</v>
      </c>
      <c r="F40" s="411">
        <v>216629.38</v>
      </c>
      <c r="G40" s="404">
        <v>3.3</v>
      </c>
      <c r="H40" s="493">
        <v>7148.77</v>
      </c>
      <c r="I40" s="404"/>
      <c r="J40" s="404"/>
      <c r="K40" s="712" t="s">
        <v>375</v>
      </c>
      <c r="L40" s="365" t="s">
        <v>400</v>
      </c>
      <c r="M40" s="365"/>
      <c r="N40" s="365"/>
      <c r="O40" s="365"/>
      <c r="P40" s="365"/>
      <c r="Q40" s="365"/>
      <c r="R40" s="353"/>
      <c r="S40" s="353"/>
      <c r="T40" s="353"/>
      <c r="U40" s="353"/>
      <c r="V40" s="353"/>
    </row>
    <row r="41" spans="1:22" ht="15.5" x14ac:dyDescent="0.25">
      <c r="A41" s="365"/>
      <c r="B41" s="765" t="s">
        <v>401</v>
      </c>
      <c r="C41" s="766"/>
      <c r="D41" s="766"/>
      <c r="E41" s="766"/>
      <c r="F41" s="480">
        <v>4310382.2699999996</v>
      </c>
      <c r="G41" s="481"/>
      <c r="H41" s="493">
        <v>102862.71</v>
      </c>
      <c r="I41" s="739"/>
      <c r="J41" s="739"/>
      <c r="K41" s="365"/>
      <c r="L41" s="365"/>
      <c r="M41" s="337"/>
      <c r="N41" s="365"/>
      <c r="O41" s="365"/>
      <c r="P41" s="365"/>
      <c r="Q41" s="365"/>
      <c r="R41" s="353"/>
      <c r="S41" s="353"/>
      <c r="T41" s="353"/>
      <c r="U41" s="353"/>
      <c r="V41" s="353"/>
    </row>
    <row r="42" spans="1:22" ht="15.5" x14ac:dyDescent="0.35">
      <c r="A42" s="365"/>
      <c r="B42" s="753" t="s">
        <v>539</v>
      </c>
      <c r="C42" s="400">
        <v>42227</v>
      </c>
      <c r="D42" s="400">
        <v>44782</v>
      </c>
      <c r="E42" s="410" t="s">
        <v>381</v>
      </c>
      <c r="F42" s="411">
        <v>73509.600000000006</v>
      </c>
      <c r="G42" s="412">
        <v>4.8125</v>
      </c>
      <c r="H42" s="493">
        <v>3537.65</v>
      </c>
      <c r="I42" s="780">
        <v>3.3786530000000002E-2</v>
      </c>
      <c r="J42" s="412"/>
      <c r="K42" s="712" t="s">
        <v>375</v>
      </c>
      <c r="L42" s="751"/>
      <c r="M42" s="358"/>
      <c r="N42" s="358"/>
      <c r="O42" s="358"/>
      <c r="P42" s="358"/>
      <c r="Q42" s="358"/>
      <c r="R42" s="669"/>
      <c r="S42" s="669"/>
      <c r="T42" s="669"/>
      <c r="U42" s="669"/>
      <c r="V42" s="669"/>
    </row>
    <row r="43" spans="1:22" ht="15.5" x14ac:dyDescent="0.25">
      <c r="A43" s="520"/>
      <c r="B43" s="511" t="s">
        <v>540</v>
      </c>
      <c r="C43" s="400">
        <v>42599</v>
      </c>
      <c r="D43" s="400">
        <v>45155</v>
      </c>
      <c r="E43" s="516" t="s">
        <v>381</v>
      </c>
      <c r="F43" s="411">
        <v>83810.31</v>
      </c>
      <c r="G43" s="412">
        <v>4.8</v>
      </c>
      <c r="H43" s="493">
        <v>4022.89</v>
      </c>
      <c r="I43" s="412"/>
      <c r="J43" s="412"/>
      <c r="K43" s="712" t="s">
        <v>375</v>
      </c>
      <c r="L43" s="405"/>
      <c r="M43" s="337"/>
      <c r="N43" s="520"/>
      <c r="O43" s="520"/>
      <c r="P43" s="520"/>
      <c r="Q43" s="520"/>
      <c r="R43" s="524"/>
      <c r="S43" s="524"/>
      <c r="T43" s="524"/>
      <c r="U43" s="524"/>
      <c r="V43" s="524"/>
    </row>
    <row r="44" spans="1:22" ht="15.5" x14ac:dyDescent="0.25">
      <c r="A44" s="609"/>
      <c r="B44" s="511" t="s">
        <v>541</v>
      </c>
      <c r="C44" s="400">
        <v>44075</v>
      </c>
      <c r="D44" s="400">
        <v>45168</v>
      </c>
      <c r="E44" s="516" t="s">
        <v>477</v>
      </c>
      <c r="F44" s="411">
        <v>3447151.24</v>
      </c>
      <c r="G44" s="412">
        <v>3</v>
      </c>
      <c r="H44" s="493">
        <v>103414.54</v>
      </c>
      <c r="I44" s="412"/>
      <c r="J44" s="412"/>
      <c r="K44" s="712" t="s">
        <v>375</v>
      </c>
      <c r="L44" s="610"/>
      <c r="M44" s="772"/>
      <c r="N44" s="609"/>
      <c r="O44" s="609"/>
      <c r="P44" s="609"/>
      <c r="Q44" s="609"/>
      <c r="R44" s="611"/>
      <c r="S44" s="611"/>
      <c r="T44" s="611"/>
      <c r="U44" s="611"/>
      <c r="V44" s="611"/>
    </row>
    <row r="45" spans="1:22" ht="15.5" x14ac:dyDescent="0.25">
      <c r="A45" s="520"/>
      <c r="B45" s="511" t="s">
        <v>528</v>
      </c>
      <c r="C45" s="400">
        <v>43340</v>
      </c>
      <c r="D45" s="400">
        <v>45530</v>
      </c>
      <c r="E45" s="516" t="s">
        <v>379</v>
      </c>
      <c r="F45" s="521">
        <v>7509.6</v>
      </c>
      <c r="G45" s="412">
        <v>4.875</v>
      </c>
      <c r="H45" s="493">
        <v>366.09</v>
      </c>
      <c r="I45" s="412"/>
      <c r="J45" s="412"/>
      <c r="K45" s="712" t="s">
        <v>375</v>
      </c>
      <c r="L45" s="405" t="s">
        <v>480</v>
      </c>
      <c r="M45" s="520"/>
      <c r="N45" s="520"/>
      <c r="O45" s="520"/>
      <c r="P45" s="520"/>
      <c r="Q45" s="524"/>
      <c r="R45" s="524"/>
      <c r="S45" s="524"/>
      <c r="T45" s="524"/>
      <c r="U45" s="524"/>
      <c r="V45" s="520"/>
    </row>
    <row r="46" spans="1:22" ht="15.5" x14ac:dyDescent="0.25">
      <c r="A46" s="365"/>
      <c r="B46" s="511" t="s">
        <v>542</v>
      </c>
      <c r="C46" s="400">
        <v>43017</v>
      </c>
      <c r="D46" s="406">
        <v>45574</v>
      </c>
      <c r="E46" s="410" t="s">
        <v>381</v>
      </c>
      <c r="F46" s="411">
        <v>171992.7</v>
      </c>
      <c r="G46" s="404">
        <v>4.5</v>
      </c>
      <c r="H46" s="493">
        <v>7739.67</v>
      </c>
      <c r="I46" s="404"/>
      <c r="J46" s="404"/>
      <c r="K46" s="712" t="s">
        <v>375</v>
      </c>
      <c r="L46" s="405">
        <v>2284</v>
      </c>
      <c r="M46" s="365"/>
      <c r="N46" s="370"/>
      <c r="O46" s="370"/>
      <c r="P46" s="370"/>
      <c r="Q46" s="370"/>
      <c r="R46" s="374"/>
      <c r="S46" s="374"/>
      <c r="T46" s="374"/>
      <c r="U46" s="374"/>
      <c r="V46" s="374"/>
    </row>
    <row r="47" spans="1:22" ht="15.5" x14ac:dyDescent="0.25">
      <c r="A47" s="365"/>
      <c r="B47" s="511" t="s">
        <v>543</v>
      </c>
      <c r="C47" s="400">
        <v>43511</v>
      </c>
      <c r="D47" s="406">
        <v>45702</v>
      </c>
      <c r="E47" s="410" t="s">
        <v>379</v>
      </c>
      <c r="F47" s="411">
        <v>130690.62</v>
      </c>
      <c r="G47" s="404">
        <v>5</v>
      </c>
      <c r="H47" s="493">
        <v>6534.53</v>
      </c>
      <c r="I47" s="404"/>
      <c r="J47" s="404"/>
      <c r="K47" s="712" t="s">
        <v>375</v>
      </c>
      <c r="L47" s="365" t="s">
        <v>420</v>
      </c>
      <c r="M47" s="365"/>
      <c r="N47" s="370"/>
      <c r="O47" s="370"/>
      <c r="P47" s="370"/>
      <c r="Q47" s="370"/>
      <c r="R47" s="374"/>
      <c r="S47" s="374"/>
      <c r="T47" s="374"/>
      <c r="U47" s="374"/>
      <c r="V47" s="374"/>
    </row>
    <row r="48" spans="1:22" ht="15.5" x14ac:dyDescent="0.25">
      <c r="A48" s="365"/>
      <c r="B48" s="511" t="s">
        <v>544</v>
      </c>
      <c r="C48" s="400">
        <v>43403</v>
      </c>
      <c r="D48" s="406">
        <v>45960</v>
      </c>
      <c r="E48" s="410" t="s">
        <v>381</v>
      </c>
      <c r="F48" s="411">
        <v>210447.4</v>
      </c>
      <c r="G48" s="404">
        <v>5</v>
      </c>
      <c r="H48" s="493">
        <v>10522.37</v>
      </c>
      <c r="I48" s="404"/>
      <c r="J48" s="404"/>
      <c r="K48" s="712" t="s">
        <v>375</v>
      </c>
      <c r="L48" s="405" t="s">
        <v>532</v>
      </c>
      <c r="M48" s="365"/>
      <c r="N48" s="370"/>
      <c r="O48" s="370"/>
      <c r="P48" s="370"/>
      <c r="Q48" s="370"/>
      <c r="R48" s="374"/>
      <c r="S48" s="374"/>
      <c r="T48" s="374"/>
      <c r="U48" s="374"/>
      <c r="V48" s="374"/>
    </row>
    <row r="49" spans="1:22" ht="15.5" x14ac:dyDescent="0.25">
      <c r="A49" s="520"/>
      <c r="B49" s="511" t="s">
        <v>545</v>
      </c>
      <c r="C49" s="400">
        <v>43434</v>
      </c>
      <c r="D49" s="400">
        <v>45988</v>
      </c>
      <c r="E49" s="410" t="s">
        <v>381</v>
      </c>
      <c r="F49" s="411">
        <v>130000</v>
      </c>
      <c r="G49" s="412">
        <v>5.125</v>
      </c>
      <c r="H49" s="493">
        <v>6662.5</v>
      </c>
      <c r="I49" s="412"/>
      <c r="J49" s="412"/>
      <c r="K49" s="712" t="s">
        <v>375</v>
      </c>
      <c r="L49" s="405" t="s">
        <v>451</v>
      </c>
      <c r="M49" s="520"/>
      <c r="N49" s="520"/>
      <c r="O49" s="520"/>
      <c r="P49" s="520"/>
      <c r="Q49" s="520"/>
      <c r="R49" s="524"/>
      <c r="S49" s="524"/>
      <c r="T49" s="524"/>
      <c r="U49" s="524"/>
      <c r="V49" s="524"/>
    </row>
    <row r="50" spans="1:22" ht="15.5" x14ac:dyDescent="0.25">
      <c r="A50" s="520"/>
      <c r="B50" s="511" t="s">
        <v>546</v>
      </c>
      <c r="C50" s="400">
        <v>43452</v>
      </c>
      <c r="D50" s="400">
        <v>46007</v>
      </c>
      <c r="E50" s="410" t="s">
        <v>381</v>
      </c>
      <c r="F50" s="411">
        <v>55270.8</v>
      </c>
      <c r="G50" s="412">
        <v>5.125</v>
      </c>
      <c r="H50" s="493">
        <v>2832.63</v>
      </c>
      <c r="I50" s="412"/>
      <c r="J50" s="412"/>
      <c r="K50" s="712" t="s">
        <v>375</v>
      </c>
      <c r="L50" s="405" t="s">
        <v>453</v>
      </c>
      <c r="M50" s="520"/>
      <c r="N50" s="520"/>
      <c r="O50" s="520"/>
      <c r="P50" s="520"/>
      <c r="Q50" s="520"/>
      <c r="R50" s="524"/>
      <c r="S50" s="524"/>
      <c r="T50" s="524"/>
      <c r="U50" s="524"/>
      <c r="V50" s="524"/>
    </row>
    <row r="51" spans="1:22" ht="15.5" x14ac:dyDescent="0.35">
      <c r="A51" s="667"/>
      <c r="B51" s="767" t="s">
        <v>514</v>
      </c>
      <c r="C51" s="768"/>
      <c r="D51" s="768"/>
      <c r="E51" s="768"/>
      <c r="F51" s="768"/>
      <c r="G51" s="769"/>
      <c r="H51" s="776">
        <v>145632.87</v>
      </c>
      <c r="I51" s="568"/>
      <c r="J51" s="568"/>
      <c r="K51" s="442"/>
      <c r="L51" s="442"/>
      <c r="M51" s="442"/>
      <c r="N51" s="667"/>
      <c r="O51" s="667"/>
      <c r="P51" s="667"/>
      <c r="Q51" s="667"/>
      <c r="R51" s="667"/>
      <c r="S51" s="667"/>
      <c r="T51" s="667"/>
      <c r="U51" s="667"/>
      <c r="V51" s="667"/>
    </row>
    <row r="52" spans="1:22" ht="14.5" x14ac:dyDescent="0.35">
      <c r="A52" s="667"/>
      <c r="B52" s="570">
        <v>44778</v>
      </c>
      <c r="C52" s="571"/>
      <c r="D52" s="571"/>
      <c r="E52" s="571"/>
      <c r="F52" s="571"/>
      <c r="G52" s="572"/>
      <c r="H52" s="777"/>
      <c r="I52" s="571"/>
      <c r="J52" s="571"/>
      <c r="K52" s="667"/>
      <c r="L52" s="667"/>
      <c r="M52" s="667"/>
      <c r="N52" s="667"/>
      <c r="O52" s="667"/>
      <c r="P52" s="667"/>
      <c r="Q52" s="667"/>
      <c r="R52" s="667"/>
      <c r="S52" s="667"/>
      <c r="T52" s="667"/>
      <c r="U52" s="667"/>
      <c r="V52" s="667"/>
    </row>
    <row r="53" spans="1:22" ht="14.5" x14ac:dyDescent="0.35">
      <c r="A53" s="667"/>
      <c r="B53" s="448" t="s">
        <v>515</v>
      </c>
      <c r="C53" s="449"/>
      <c r="D53" s="1644" t="s">
        <v>547</v>
      </c>
      <c r="E53" s="1644"/>
      <c r="F53" s="1644"/>
      <c r="G53" s="1645"/>
      <c r="H53" s="435"/>
      <c r="I53" s="450"/>
      <c r="J53" s="450"/>
      <c r="K53" s="667"/>
      <c r="L53" s="667"/>
      <c r="M53" s="667"/>
      <c r="N53" s="667"/>
      <c r="O53" s="667"/>
      <c r="P53" s="667"/>
      <c r="Q53" s="667"/>
      <c r="R53" s="667"/>
      <c r="S53" s="667"/>
      <c r="T53" s="667"/>
      <c r="U53" s="667"/>
      <c r="V53" s="667"/>
    </row>
    <row r="54" spans="1:22" ht="15.5" x14ac:dyDescent="0.35">
      <c r="A54" s="667"/>
      <c r="B54" s="1646" t="s">
        <v>496</v>
      </c>
      <c r="C54" s="1647"/>
      <c r="D54" s="575"/>
      <c r="E54" s="574"/>
      <c r="F54" s="574" t="s">
        <v>497</v>
      </c>
      <c r="G54" s="770"/>
      <c r="H54" s="778"/>
      <c r="I54" s="574"/>
      <c r="J54" s="574"/>
      <c r="K54" s="667"/>
      <c r="L54" s="667"/>
      <c r="M54" s="667"/>
      <c r="N54" s="667"/>
      <c r="O54" s="667"/>
      <c r="P54" s="667"/>
      <c r="Q54" s="667"/>
      <c r="R54" s="667"/>
      <c r="S54" s="667"/>
      <c r="T54" s="667"/>
      <c r="U54" s="667"/>
      <c r="V54" s="667"/>
    </row>
    <row r="55" spans="1:22" ht="14.5" x14ac:dyDescent="0.35">
      <c r="A55" s="667"/>
      <c r="B55" s="1637" t="s">
        <v>516</v>
      </c>
      <c r="C55" s="1638"/>
      <c r="D55" s="771"/>
      <c r="E55" s="1638" t="s">
        <v>548</v>
      </c>
      <c r="F55" s="1638"/>
      <c r="G55" s="1639"/>
      <c r="H55" s="451"/>
      <c r="I55" s="452"/>
      <c r="J55" s="452"/>
      <c r="K55" s="667"/>
      <c r="L55" s="667"/>
      <c r="M55" s="667"/>
      <c r="N55" s="667"/>
      <c r="O55" s="667"/>
      <c r="P55" s="667"/>
      <c r="Q55" s="667"/>
      <c r="R55" s="667"/>
      <c r="S55" s="667"/>
      <c r="T55" s="667"/>
      <c r="U55" s="667"/>
      <c r="V55" s="667"/>
    </row>
    <row r="59" spans="1:22" ht="15.5" x14ac:dyDescent="0.35">
      <c r="A59" s="667"/>
      <c r="B59" s="667"/>
      <c r="C59" s="456" t="s">
        <v>18</v>
      </c>
      <c r="D59" s="667"/>
      <c r="E59" s="667"/>
      <c r="F59" s="667"/>
      <c r="G59" s="667"/>
      <c r="H59" s="667"/>
      <c r="I59" s="667"/>
      <c r="J59" s="667"/>
      <c r="K59" s="667"/>
      <c r="L59" s="667"/>
      <c r="M59" s="667"/>
      <c r="N59" s="667"/>
      <c r="O59" s="667"/>
      <c r="P59" s="667"/>
      <c r="Q59" s="667"/>
      <c r="R59" s="667"/>
      <c r="S59" s="667"/>
      <c r="T59" s="667"/>
      <c r="U59" s="667"/>
      <c r="V59" s="667"/>
    </row>
  </sheetData>
  <mergeCells count="19">
    <mergeCell ref="E55:G55"/>
    <mergeCell ref="B55:C55"/>
    <mergeCell ref="B54:C54"/>
    <mergeCell ref="D53:G53"/>
    <mergeCell ref="B10:D10"/>
    <mergeCell ref="M6:R7"/>
    <mergeCell ref="B6:B8"/>
    <mergeCell ref="C6:D7"/>
    <mergeCell ref="E6:E8"/>
    <mergeCell ref="N1:R1"/>
    <mergeCell ref="B2:G2"/>
    <mergeCell ref="M2:R2"/>
    <mergeCell ref="B3:G3"/>
    <mergeCell ref="M3:M5"/>
    <mergeCell ref="B5:G5"/>
    <mergeCell ref="B4:G4"/>
    <mergeCell ref="F6:F7"/>
    <mergeCell ref="G6:G8"/>
    <mergeCell ref="K6:K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99"/>
  </sheetPr>
  <dimension ref="B1:AJ50"/>
  <sheetViews>
    <sheetView showGridLines="0" tabSelected="1" topLeftCell="S7" zoomScale="130" zoomScaleNormal="130" workbookViewId="0">
      <selection activeCell="Y29" sqref="Y29"/>
    </sheetView>
  </sheetViews>
  <sheetFormatPr baseColWidth="10" defaultColWidth="11.453125" defaultRowHeight="13" x14ac:dyDescent="0.25"/>
  <cols>
    <col min="1" max="1" width="3.453125" style="30" customWidth="1"/>
    <col min="2" max="2" width="32.54296875" style="30" customWidth="1"/>
    <col min="3" max="3" width="0.81640625" style="30" customWidth="1"/>
    <col min="4" max="4" width="15.7265625" style="31" customWidth="1"/>
    <col min="5" max="5" width="9.26953125" style="193" customWidth="1"/>
    <col min="6" max="6" width="1" style="30" customWidth="1"/>
    <col min="7" max="7" width="15.7265625" style="30" customWidth="1"/>
    <col min="8" max="9" width="7.7265625" style="185" customWidth="1"/>
    <col min="10" max="10" width="15.7265625" style="30" customWidth="1"/>
    <col min="11" max="12" width="7.7265625" style="185" customWidth="1"/>
    <col min="13" max="13" width="15.7265625" style="30" customWidth="1"/>
    <col min="14" max="15" width="7.7265625" style="185" customWidth="1"/>
    <col min="16" max="16" width="15.7265625" style="30" customWidth="1"/>
    <col min="17" max="18" width="7.7265625" style="185" customWidth="1"/>
    <col min="19" max="19" width="15.7265625" style="30" customWidth="1"/>
    <col min="20" max="21" width="7.7265625" style="185" customWidth="1"/>
    <col min="22" max="22" width="15.7265625" style="1465" customWidth="1"/>
    <col min="23" max="24" width="7.7265625" style="185" customWidth="1"/>
    <col min="25" max="25" width="15.7265625" style="30" customWidth="1"/>
    <col min="26" max="27" width="7.7265625" style="185" customWidth="1"/>
    <col min="28" max="28" width="15.7265625" style="30" customWidth="1"/>
    <col min="29" max="30" width="7.7265625" style="185" customWidth="1"/>
    <col min="31" max="31" width="15.7265625" style="30" customWidth="1"/>
    <col min="32" max="33" width="7.7265625" style="185" customWidth="1"/>
    <col min="34" max="34" width="15.7265625" style="30" customWidth="1"/>
    <col min="35" max="35" width="7.7265625" style="185" customWidth="1"/>
    <col min="36" max="36" width="7.7265625" style="30" customWidth="1"/>
    <col min="37" max="16384" width="11.453125" style="30"/>
  </cols>
  <sheetData>
    <row r="1" spans="2:36" ht="15.5" x14ac:dyDescent="0.25">
      <c r="B1" s="137"/>
      <c r="C1" s="138"/>
      <c r="D1" s="138"/>
      <c r="E1" s="182"/>
      <c r="F1" s="138"/>
      <c r="G1" s="138"/>
      <c r="H1" s="182"/>
      <c r="I1" s="182"/>
      <c r="J1" s="138"/>
      <c r="K1" s="182"/>
      <c r="L1" s="182"/>
      <c r="M1" s="138"/>
      <c r="N1" s="182"/>
      <c r="O1" s="182"/>
      <c r="P1" s="138"/>
      <c r="Q1" s="182"/>
      <c r="R1" s="182"/>
      <c r="S1" s="138"/>
      <c r="T1" s="182"/>
      <c r="U1" s="182"/>
      <c r="V1" s="1457"/>
      <c r="W1" s="182"/>
      <c r="X1" s="182"/>
      <c r="Y1" s="138"/>
      <c r="Z1" s="182"/>
      <c r="AA1" s="182"/>
      <c r="AB1" s="138"/>
      <c r="AC1" s="182"/>
      <c r="AD1" s="182"/>
      <c r="AE1" s="138"/>
      <c r="AF1" s="182"/>
      <c r="AG1" s="182"/>
      <c r="AH1" s="138"/>
      <c r="AI1" s="182"/>
    </row>
    <row r="2" spans="2:36" ht="21" customHeight="1" x14ac:dyDescent="0.25">
      <c r="B2" s="1605" t="s">
        <v>0</v>
      </c>
      <c r="C2" s="1605"/>
      <c r="D2" s="1605"/>
      <c r="E2" s="1605"/>
      <c r="F2" s="1605"/>
      <c r="G2" s="1605"/>
      <c r="H2" s="1605"/>
      <c r="I2" s="1605"/>
      <c r="J2" s="1605"/>
      <c r="K2" s="1605"/>
      <c r="L2" s="1605"/>
      <c r="M2" s="1605"/>
      <c r="N2" s="1605"/>
      <c r="O2" s="1605"/>
      <c r="P2" s="1605"/>
      <c r="Q2" s="1605"/>
      <c r="R2" s="1605"/>
      <c r="S2" s="1605"/>
      <c r="T2" s="1605"/>
      <c r="U2" s="1605"/>
      <c r="V2" s="1605"/>
      <c r="W2" s="1605"/>
      <c r="X2" s="1605"/>
      <c r="Y2" s="1605"/>
      <c r="Z2" s="1605"/>
      <c r="AA2" s="1605"/>
      <c r="AB2" s="1605"/>
      <c r="AC2" s="1605"/>
      <c r="AD2" s="1605"/>
      <c r="AE2" s="1605"/>
      <c r="AF2" s="1605"/>
      <c r="AG2" s="1605"/>
      <c r="AH2" s="1605"/>
      <c r="AI2" s="1605"/>
      <c r="AJ2" s="1605"/>
    </row>
    <row r="3" spans="2:36" ht="21" customHeight="1" x14ac:dyDescent="0.25">
      <c r="B3" s="1605" t="s">
        <v>1</v>
      </c>
      <c r="C3" s="1605"/>
      <c r="D3" s="1605"/>
      <c r="E3" s="1605"/>
      <c r="F3" s="1605"/>
      <c r="G3" s="1605"/>
      <c r="H3" s="1605"/>
      <c r="I3" s="1605"/>
      <c r="J3" s="1605"/>
      <c r="K3" s="1605"/>
      <c r="L3" s="1605"/>
      <c r="M3" s="1605"/>
      <c r="N3" s="1605"/>
      <c r="O3" s="1605"/>
      <c r="P3" s="1605"/>
      <c r="Q3" s="1605"/>
      <c r="R3" s="1605"/>
      <c r="S3" s="1605"/>
      <c r="T3" s="1605"/>
      <c r="U3" s="1605"/>
      <c r="V3" s="1605"/>
      <c r="W3" s="1605"/>
      <c r="X3" s="1605"/>
      <c r="Y3" s="1605"/>
      <c r="Z3" s="1605"/>
      <c r="AA3" s="1605"/>
      <c r="AB3" s="1605"/>
      <c r="AC3" s="1605"/>
      <c r="AD3" s="1605"/>
      <c r="AE3" s="1605"/>
      <c r="AF3" s="1605"/>
      <c r="AG3" s="1605"/>
      <c r="AH3" s="1605"/>
      <c r="AI3" s="1605"/>
      <c r="AJ3" s="1605"/>
    </row>
    <row r="4" spans="2:36" ht="21" customHeight="1" x14ac:dyDescent="0.25">
      <c r="B4" s="1605" t="s">
        <v>766</v>
      </c>
      <c r="C4" s="1605"/>
      <c r="D4" s="1605"/>
      <c r="E4" s="1605"/>
      <c r="F4" s="1605"/>
      <c r="G4" s="1605"/>
      <c r="H4" s="1605"/>
      <c r="I4" s="1605"/>
      <c r="J4" s="1605"/>
      <c r="K4" s="1605"/>
      <c r="L4" s="1605"/>
      <c r="M4" s="1605"/>
      <c r="N4" s="1605"/>
      <c r="O4" s="1605"/>
      <c r="P4" s="1605"/>
      <c r="Q4" s="1605"/>
      <c r="R4" s="1605"/>
      <c r="S4" s="1605"/>
      <c r="T4" s="1605"/>
      <c r="U4" s="1605"/>
      <c r="V4" s="1605"/>
      <c r="W4" s="1605"/>
      <c r="X4" s="1605"/>
      <c r="Y4" s="1605"/>
      <c r="Z4" s="1605"/>
      <c r="AA4" s="1605"/>
      <c r="AB4" s="1605"/>
      <c r="AC4" s="1605"/>
      <c r="AD4" s="1605"/>
      <c r="AE4" s="1605"/>
      <c r="AF4" s="1605"/>
      <c r="AG4" s="1605"/>
      <c r="AH4" s="1605"/>
      <c r="AI4" s="1605"/>
      <c r="AJ4" s="1605"/>
    </row>
    <row r="5" spans="2:36" ht="21" customHeight="1" x14ac:dyDescent="0.25">
      <c r="B5" s="1605" t="s">
        <v>732</v>
      </c>
      <c r="C5" s="1605"/>
      <c r="D5" s="1605"/>
      <c r="E5" s="1605"/>
      <c r="F5" s="1605"/>
      <c r="G5" s="1605"/>
      <c r="H5" s="1605"/>
      <c r="I5" s="1605"/>
      <c r="J5" s="1605"/>
      <c r="K5" s="1605"/>
      <c r="L5" s="1605"/>
      <c r="M5" s="1605"/>
      <c r="N5" s="1605"/>
      <c r="O5" s="1605"/>
      <c r="P5" s="1605"/>
      <c r="Q5" s="1605"/>
      <c r="R5" s="1605"/>
      <c r="S5" s="1605"/>
      <c r="T5" s="1605"/>
      <c r="U5" s="1605"/>
      <c r="V5" s="1605"/>
      <c r="W5" s="1605"/>
      <c r="X5" s="1605"/>
      <c r="Y5" s="1605"/>
      <c r="Z5" s="1605"/>
      <c r="AA5" s="1605"/>
      <c r="AB5" s="1605"/>
      <c r="AC5" s="1605"/>
      <c r="AD5" s="1605"/>
      <c r="AE5" s="1605"/>
      <c r="AF5" s="1605"/>
      <c r="AG5" s="1605"/>
      <c r="AH5" s="1605"/>
      <c r="AI5" s="1605"/>
      <c r="AJ5" s="1605"/>
    </row>
    <row r="6" spans="2:36" ht="21" customHeight="1" x14ac:dyDescent="0.25">
      <c r="B6" s="1605" t="s">
        <v>4</v>
      </c>
      <c r="C6" s="1605"/>
      <c r="D6" s="1605"/>
      <c r="E6" s="1605"/>
      <c r="F6" s="1605"/>
      <c r="G6" s="1605"/>
      <c r="H6" s="1605"/>
      <c r="I6" s="1605"/>
      <c r="J6" s="1605"/>
      <c r="K6" s="1605"/>
      <c r="L6" s="1605"/>
      <c r="M6" s="1605"/>
      <c r="N6" s="1605"/>
      <c r="O6" s="1605"/>
      <c r="P6" s="1605"/>
      <c r="Q6" s="1605"/>
      <c r="R6" s="1605"/>
      <c r="S6" s="1605"/>
      <c r="T6" s="1605"/>
      <c r="U6" s="1605"/>
      <c r="V6" s="1605"/>
      <c r="W6" s="1605"/>
      <c r="X6" s="1605"/>
      <c r="Y6" s="1605"/>
      <c r="Z6" s="1605"/>
      <c r="AA6" s="1605"/>
      <c r="AB6" s="1605"/>
      <c r="AC6" s="1605"/>
      <c r="AD6" s="1605"/>
      <c r="AE6" s="1605"/>
      <c r="AF6" s="1605"/>
      <c r="AG6" s="1605"/>
      <c r="AH6" s="1605"/>
      <c r="AI6" s="1605"/>
      <c r="AJ6" s="1605"/>
    </row>
    <row r="7" spans="2:36" s="151" customFormat="1" ht="34.5" customHeight="1" x14ac:dyDescent="0.25">
      <c r="B7" s="1598" t="s">
        <v>767</v>
      </c>
      <c r="C7" s="1485"/>
      <c r="D7" s="1598" t="s">
        <v>741</v>
      </c>
      <c r="E7" s="1600" t="s">
        <v>742</v>
      </c>
      <c r="F7" s="1485"/>
      <c r="G7" s="1602" t="s">
        <v>760</v>
      </c>
      <c r="H7" s="1603"/>
      <c r="I7" s="1604"/>
      <c r="J7" s="1602" t="s">
        <v>76</v>
      </c>
      <c r="K7" s="1603"/>
      <c r="L7" s="1604"/>
      <c r="M7" s="1597" t="s">
        <v>60</v>
      </c>
      <c r="N7" s="1597"/>
      <c r="O7" s="1597"/>
      <c r="P7" s="1597" t="s">
        <v>738</v>
      </c>
      <c r="Q7" s="1597"/>
      <c r="R7" s="1597"/>
      <c r="S7" s="1597" t="s">
        <v>739</v>
      </c>
      <c r="T7" s="1597"/>
      <c r="U7" s="1597"/>
      <c r="V7" s="1597" t="s">
        <v>736</v>
      </c>
      <c r="W7" s="1597"/>
      <c r="X7" s="1597"/>
      <c r="Y7" s="1597" t="s">
        <v>737</v>
      </c>
      <c r="Z7" s="1597"/>
      <c r="AA7" s="1597"/>
      <c r="AB7" s="1597" t="s">
        <v>63</v>
      </c>
      <c r="AC7" s="1597"/>
      <c r="AD7" s="1597"/>
      <c r="AE7" s="1597" t="s">
        <v>64</v>
      </c>
      <c r="AF7" s="1597"/>
      <c r="AG7" s="1597"/>
      <c r="AH7" s="1597" t="s">
        <v>735</v>
      </c>
      <c r="AI7" s="1597"/>
      <c r="AJ7" s="1597"/>
    </row>
    <row r="8" spans="2:36" s="14" customFormat="1" ht="34.5" customHeight="1" x14ac:dyDescent="0.25">
      <c r="B8" s="1599"/>
      <c r="C8" s="1487"/>
      <c r="D8" s="1599"/>
      <c r="E8" s="1601"/>
      <c r="F8" s="1487"/>
      <c r="G8" s="1488" t="s">
        <v>733</v>
      </c>
      <c r="H8" s="1489" t="s">
        <v>734</v>
      </c>
      <c r="I8" s="1490" t="s">
        <v>740</v>
      </c>
      <c r="J8" s="1491" t="s">
        <v>733</v>
      </c>
      <c r="K8" s="1491" t="s">
        <v>734</v>
      </c>
      <c r="L8" s="1491" t="s">
        <v>740</v>
      </c>
      <c r="M8" s="1492" t="s">
        <v>733</v>
      </c>
      <c r="N8" s="1493" t="s">
        <v>734</v>
      </c>
      <c r="O8" s="1493" t="s">
        <v>740</v>
      </c>
      <c r="P8" s="1492" t="s">
        <v>733</v>
      </c>
      <c r="Q8" s="1493" t="s">
        <v>734</v>
      </c>
      <c r="R8" s="1493" t="s">
        <v>740</v>
      </c>
      <c r="S8" s="1492" t="s">
        <v>733</v>
      </c>
      <c r="T8" s="1493" t="s">
        <v>734</v>
      </c>
      <c r="U8" s="1493" t="s">
        <v>740</v>
      </c>
      <c r="V8" s="1492" t="s">
        <v>733</v>
      </c>
      <c r="W8" s="1493" t="s">
        <v>734</v>
      </c>
      <c r="X8" s="1493" t="s">
        <v>740</v>
      </c>
      <c r="Y8" s="1492" t="s">
        <v>733</v>
      </c>
      <c r="Z8" s="1493" t="s">
        <v>734</v>
      </c>
      <c r="AA8" s="1489" t="s">
        <v>740</v>
      </c>
      <c r="AB8" s="1486" t="s">
        <v>733</v>
      </c>
      <c r="AC8" s="1520" t="s">
        <v>734</v>
      </c>
      <c r="AD8" s="1522" t="s">
        <v>740</v>
      </c>
      <c r="AE8" s="1521" t="s">
        <v>733</v>
      </c>
      <c r="AF8" s="1493" t="s">
        <v>734</v>
      </c>
      <c r="AG8" s="1493" t="s">
        <v>740</v>
      </c>
      <c r="AH8" s="1492" t="s">
        <v>733</v>
      </c>
      <c r="AI8" s="1489" t="s">
        <v>734</v>
      </c>
      <c r="AJ8" s="1522" t="s">
        <v>740</v>
      </c>
    </row>
    <row r="9" spans="2:36" s="14" customFormat="1" ht="6" customHeight="1" x14ac:dyDescent="0.25">
      <c r="B9" s="1494"/>
      <c r="C9" s="1494"/>
      <c r="D9" s="1495"/>
      <c r="E9" s="1496"/>
      <c r="F9" s="1494"/>
      <c r="G9" s="1494"/>
      <c r="H9" s="1497"/>
      <c r="I9" s="1494"/>
      <c r="J9" s="1494"/>
      <c r="K9" s="1494"/>
      <c r="L9" s="1494"/>
      <c r="M9" s="1494"/>
      <c r="N9" s="1494"/>
      <c r="O9" s="1494"/>
      <c r="P9" s="1494"/>
      <c r="Q9" s="1494"/>
      <c r="R9" s="1494"/>
      <c r="S9" s="1494"/>
      <c r="T9" s="1494"/>
      <c r="U9" s="1494"/>
      <c r="V9" s="1498"/>
      <c r="W9" s="1494"/>
      <c r="X9" s="1494"/>
      <c r="Y9" s="1494"/>
      <c r="Z9" s="1494"/>
      <c r="AA9" s="1494"/>
      <c r="AB9" s="1494"/>
      <c r="AC9" s="1494"/>
      <c r="AD9" s="1494"/>
      <c r="AE9" s="1494"/>
      <c r="AF9" s="1494"/>
      <c r="AG9" s="1494"/>
      <c r="AH9" s="1494"/>
      <c r="AI9" s="1494"/>
      <c r="AJ9" s="1494"/>
    </row>
    <row r="10" spans="2:36" s="1499" customFormat="1" ht="24" customHeight="1" x14ac:dyDescent="0.25">
      <c r="B10" s="1524" t="s">
        <v>17</v>
      </c>
      <c r="C10" s="1525"/>
      <c r="D10" s="1526">
        <f>G10+AB10+AE10+AH10</f>
        <v>11059579210.6</v>
      </c>
      <c r="E10" s="1527">
        <f>((G10*H10)+(AB10*AC10)+(AE10*AF10)+(AH10*AI10))/D10</f>
        <v>4.65E-2</v>
      </c>
      <c r="F10" s="1525"/>
      <c r="G10" s="1528">
        <f>G12+G16+G24+G26+G33</f>
        <v>9084776454.4500008</v>
      </c>
      <c r="H10" s="1529">
        <f>((G12*H12)+(G16*H16)+(G24*H24)+(G26*H26)+(G33*H33))/G10</f>
        <v>4.7100000000000003E-2</v>
      </c>
      <c r="I10" s="1530">
        <f>(($J$12*I12)+($J$16*I16)+($J$24*I24)+($J$26*I26)+($J$33*I33))/$J10</f>
        <v>6.15</v>
      </c>
      <c r="J10" s="1528">
        <f>J12+J16+J24+J26+J33</f>
        <v>548856782.88999999</v>
      </c>
      <c r="K10" s="1529">
        <f>(($J$12*K12)+($J$16*K16)+($J$24*K24)+($J$26*K26)+($J$33*K33))/$J10</f>
        <v>3.5200000000000002E-2</v>
      </c>
      <c r="L10" s="1530">
        <f>(($J$12*L12)+($J$16*L16)+($J$24*L24)+($J$26*L26)+($J$33*L33))/$J10</f>
        <v>2.2000000000000002</v>
      </c>
      <c r="M10" s="1528">
        <f>M12+M16+M24+M26+M33</f>
        <v>8535919671.5600004</v>
      </c>
      <c r="N10" s="1529">
        <f>((M12*N12)+(M16*N16)+(M24*N24)+(M26*N26)+(M33*N33))/M10</f>
        <v>4.7899999999999998E-2</v>
      </c>
      <c r="O10" s="1530">
        <f>(($M$12*O12)+($M$16*O16)+($M$24*O24)+($M$26*O26)+($M$33*O33))/$M10</f>
        <v>10.35</v>
      </c>
      <c r="P10" s="1528">
        <f>P12+P16+P24+P26+P33</f>
        <v>2910389428.27</v>
      </c>
      <c r="Q10" s="1531">
        <f>((P12*Q12)+(P16*Q16)+(P24*Q24)+(P26*Q26)+(P33*Q33))/P10</f>
        <v>4.9399999999999999E-2</v>
      </c>
      <c r="R10" s="1530">
        <f>(($P$12*R12)+($P$16*R16)+($P$24*R24)+($P$26*R26)+($P$33*R33))/$P10</f>
        <v>10.87</v>
      </c>
      <c r="S10" s="1528">
        <f>S12+S16+S24+S26+S33</f>
        <v>5414285592.8199997</v>
      </c>
      <c r="T10" s="1529">
        <f>((S12*T12)+(S16*T16)+(S24*T24)+(S26*T26)+(S33*T33))/S10</f>
        <v>4.7E-2</v>
      </c>
      <c r="U10" s="1530">
        <f>(($S$12*U12)+($S$16*U16)+($S$24*U24)+($S$26*U26)+($S$33*U33))/$S10</f>
        <v>10.25</v>
      </c>
      <c r="V10" s="1528">
        <f>V12+V16+V24+V26+V33</f>
        <v>197711916.50999999</v>
      </c>
      <c r="W10" s="1529">
        <f>((V12*W12)+(V16*W16)+(V24*W24)+(V26*W26)+(V33*W33))/V10</f>
        <v>5.0799999999999998E-2</v>
      </c>
      <c r="X10" s="1530">
        <f>(($V$12*X12)+($V$16*X16)+($V$24*X24)+($V$26*X26)+($V$33*X33))/$V10</f>
        <v>5.73</v>
      </c>
      <c r="Y10" s="1528">
        <f>Y12+Y16+Y24+Y26+Y33</f>
        <v>13532733.960000001</v>
      </c>
      <c r="Z10" s="1529">
        <f>((Y12*Z12)+(Y16*Z16)+(Y24*Z24)+(Y26*Z26)+(Y33*Z33))/Y10</f>
        <v>4.58E-2</v>
      </c>
      <c r="AA10" s="1530">
        <f>(($Y$12*AA12)+($Y$16*AA16)+($Y$24*AA24)+($Y$26*AA26)+($Y$33*AA33))/$Y10</f>
        <v>7.19</v>
      </c>
      <c r="AB10" s="1528">
        <f>AB12+AB16+AB24+AB26+AB33</f>
        <v>111459363.29000001</v>
      </c>
      <c r="AC10" s="1529">
        <f>((AB12*AC12)+(AB16*AC16)+(AB24*AC24)+(AB26*AC26)+(AB33*AC33))/AB10</f>
        <v>4.1500000000000002E-2</v>
      </c>
      <c r="AD10" s="1530">
        <f>(($AB$12*AD12)+($AB$16*AD16)+($AB$24*AD24)+($AB$26*AD26)+($AB$33*AD33))/$AB10</f>
        <v>3.8</v>
      </c>
      <c r="AE10" s="1528">
        <f>AE12+AE16+AE24+AE26+AE33</f>
        <v>1128798677.9100001</v>
      </c>
      <c r="AF10" s="1529">
        <f>((AE12*AF12)+(AE16*AF16)+(AE24*AF24)+(AE26*AF26)+(AE33*AF33))/AE10</f>
        <v>3.8899999999999997E-2</v>
      </c>
      <c r="AG10" s="1530">
        <f>(($AE$12*AG12)+($AE$16*AG16)+($AE$24*AG24)+($AE$26*AG26)+($AE$33*AG33))/$AE10</f>
        <v>1.01</v>
      </c>
      <c r="AH10" s="1528">
        <f>AH12+AH16+AH24+AH26+AH33</f>
        <v>734544714.95000005</v>
      </c>
      <c r="AI10" s="1529">
        <f>((AH12*AI12)+(AH16*AI16)+(AH24*AI24)+(AH26*AI26)+(AH33*AI33))/AH10</f>
        <v>5.0999999999999997E-2</v>
      </c>
      <c r="AJ10" s="1530">
        <f>(($AH$12*AJ12)+($AH$16*AJ16)+($AH$24*AJ24)+($AH$26*AJ26)+($AH$33*AJ33))/$AH10</f>
        <v>1.21</v>
      </c>
    </row>
    <row r="11" spans="2:36" s="14" customFormat="1" ht="6" customHeight="1" x14ac:dyDescent="0.25">
      <c r="B11" s="1532"/>
      <c r="C11" s="1532"/>
      <c r="D11" s="1533"/>
      <c r="E11" s="1534"/>
      <c r="F11" s="1532"/>
      <c r="G11" s="1532"/>
      <c r="H11" s="1535"/>
      <c r="I11" s="1535"/>
      <c r="J11" s="1532"/>
      <c r="K11" s="1535"/>
      <c r="L11" s="1535"/>
      <c r="M11" s="1532"/>
      <c r="N11" s="1535"/>
      <c r="O11" s="1535"/>
      <c r="P11" s="1535"/>
      <c r="Q11" s="1536"/>
      <c r="R11" s="1535"/>
      <c r="S11" s="1532"/>
      <c r="T11" s="1535"/>
      <c r="U11" s="1535"/>
      <c r="V11" s="1537"/>
      <c r="W11" s="1535"/>
      <c r="X11" s="1535"/>
      <c r="Y11" s="1532"/>
      <c r="Z11" s="1535"/>
      <c r="AA11" s="1535"/>
      <c r="AB11" s="1532"/>
      <c r="AC11" s="1535"/>
      <c r="AD11" s="1535"/>
      <c r="AE11" s="1532"/>
      <c r="AF11" s="1535"/>
      <c r="AG11" s="1535"/>
      <c r="AH11" s="1532"/>
      <c r="AI11" s="1535"/>
      <c r="AJ11" s="1535"/>
    </row>
    <row r="12" spans="2:36" s="147" customFormat="1" ht="31.5" customHeight="1" x14ac:dyDescent="0.25">
      <c r="B12" s="1565" t="s">
        <v>762</v>
      </c>
      <c r="C12" s="1500"/>
      <c r="D12" s="1538">
        <f>SUM(D13:D14)</f>
        <v>6646104389.3699999</v>
      </c>
      <c r="E12" s="1539">
        <f>((D13*E13)+(D14*E14))/D12</f>
        <v>4.58E-2</v>
      </c>
      <c r="F12" s="1500"/>
      <c r="G12" s="1538">
        <f>SUM(G13:G14)</f>
        <v>4784578598.8299999</v>
      </c>
      <c r="H12" s="1540">
        <f>((G13*H13)+(G14*H14))/G12</f>
        <v>4.7E-2</v>
      </c>
      <c r="I12" s="1541">
        <f>((G13*I13)+(G14*I14))/G12</f>
        <v>5.43</v>
      </c>
      <c r="J12" s="1538">
        <f t="shared" ref="J12:S12" si="0">SUM(J13:J14)</f>
        <v>512927528.72000003</v>
      </c>
      <c r="K12" s="1540">
        <f>((J13*K13)+(J14*K14))/J12</f>
        <v>3.49E-2</v>
      </c>
      <c r="L12" s="1541">
        <f>((J13*L13)+(J14*L14))/J12</f>
        <v>1.03</v>
      </c>
      <c r="M12" s="1538">
        <f>SUM(M13:M14)</f>
        <v>4271651070.1100001</v>
      </c>
      <c r="N12" s="1540">
        <f>((M13*N13)+(M14*N14))/M12</f>
        <v>4.8500000000000001E-2</v>
      </c>
      <c r="O12" s="1541">
        <f>((M13*O13)+(M14*O14))/M12</f>
        <v>5.97</v>
      </c>
      <c r="P12" s="1541">
        <f t="shared" si="0"/>
        <v>1517758102.45</v>
      </c>
      <c r="Q12" s="1540">
        <f>((P13*Q13)+(P14*Q14))/P12</f>
        <v>5.0299999999999997E-2</v>
      </c>
      <c r="R12" s="1541">
        <f>((P13*R13)+(P14*R14))/P12</f>
        <v>6.37</v>
      </c>
      <c r="S12" s="1538">
        <f t="shared" si="0"/>
        <v>2635470165.5999999</v>
      </c>
      <c r="T12" s="1540">
        <f>((S13*T13)+(S14*T14))/S12</f>
        <v>4.7399999999999998E-2</v>
      </c>
      <c r="U12" s="1541">
        <f>((S13*U13)+(S14*U14))/S12</f>
        <v>5.71</v>
      </c>
      <c r="V12" s="1538">
        <f>SUM(V13:V14)</f>
        <v>108019303.34999999</v>
      </c>
      <c r="W12" s="1540">
        <f>((V13*W13)+(V14*W14))/V12</f>
        <v>4.9599999999999998E-2</v>
      </c>
      <c r="X12" s="1541">
        <f>((V13*X13)+(V14*X14))/V12</f>
        <v>6.34</v>
      </c>
      <c r="Y12" s="1538">
        <f>SUM(Y13:Y14)</f>
        <v>10403498.710000001</v>
      </c>
      <c r="Z12" s="1540">
        <f>((Y13*Z13)+(Y14*Z14))/Y12</f>
        <v>4.8000000000000001E-2</v>
      </c>
      <c r="AA12" s="1541">
        <f>((Y13*AA13)+(Y14*AA14))/Y12</f>
        <v>6.46</v>
      </c>
      <c r="AB12" s="1538">
        <f>SUM(AB13:AB14)</f>
        <v>81801953.790000007</v>
      </c>
      <c r="AC12" s="1540">
        <f>((AB13*AC13)+(AB14*AC14))/AB12</f>
        <v>3.3500000000000002E-2</v>
      </c>
      <c r="AD12" s="1541">
        <f>((AB13*AD13)+(AB14*AD14))/AB12</f>
        <v>1.1000000000000001</v>
      </c>
      <c r="AE12" s="1538">
        <f t="shared" ref="AE12:AH12" si="1">SUM(AE13:AE14)</f>
        <v>1076875138.8</v>
      </c>
      <c r="AF12" s="1540">
        <f>((AE13*AF13)+(AE14*AF14))/AE12</f>
        <v>3.7999999999999999E-2</v>
      </c>
      <c r="AG12" s="1541">
        <f>((AE13*AG13)+(AE14*AG14))/AE12</f>
        <v>1.02</v>
      </c>
      <c r="AH12" s="1538">
        <f t="shared" si="1"/>
        <v>702848697.95000005</v>
      </c>
      <c r="AI12" s="1540">
        <f>((AH13*AI13)+(AH14*AI14))/AH12</f>
        <v>5.0599999999999999E-2</v>
      </c>
      <c r="AJ12" s="1541">
        <f>((AH13*AJ13)+(AH14*AJ14))/AH12</f>
        <v>1.2</v>
      </c>
    </row>
    <row r="13" spans="2:36" s="1475" customFormat="1" ht="18" customHeight="1" x14ac:dyDescent="0.25">
      <c r="B13" s="1476" t="s">
        <v>743</v>
      </c>
      <c r="C13" s="1500"/>
      <c r="D13" s="1506">
        <f>G13+AB13+AE13+AH13</f>
        <v>3805241890.71</v>
      </c>
      <c r="E13" s="1523">
        <f>((G13*H13)+(AB13*AC13)+(AE13*AF13)+(AH13*AI13))/D13</f>
        <v>4.2999999999999997E-2</v>
      </c>
      <c r="F13" s="1500"/>
      <c r="G13" s="1506">
        <f>J13+M13</f>
        <v>2487388357.3600001</v>
      </c>
      <c r="H13" s="1479">
        <f>((J13*K13)+(M13*N13))/G13</f>
        <v>4.3299999999999998E-2</v>
      </c>
      <c r="I13" s="1506">
        <f>((J13*L13)+(M13*O13))/G13</f>
        <v>4.28</v>
      </c>
      <c r="J13" s="1506">
        <v>437755095.89999998</v>
      </c>
      <c r="K13" s="1479">
        <v>3.2500000000000001E-2</v>
      </c>
      <c r="L13" s="1506">
        <v>0.14000000000000001</v>
      </c>
      <c r="M13" s="1506">
        <f>P13+S13+V13+Y13</f>
        <v>2049633261.46</v>
      </c>
      <c r="N13" s="1479">
        <f>((P13*Q13)+(S13*T13)+(V13*W13)+(Y13*Z13))/M13</f>
        <v>4.5600000000000002E-2</v>
      </c>
      <c r="O13" s="1506">
        <f>((P13*R13)+(S13*U13)+(V13*X13)+(Y13*AA13))/M13</f>
        <v>5.17</v>
      </c>
      <c r="P13" s="1506">
        <v>564231757.36000001</v>
      </c>
      <c r="Q13" s="1479">
        <v>4.6199999999999998E-2</v>
      </c>
      <c r="R13" s="1542">
        <v>6.92</v>
      </c>
      <c r="S13" s="1506">
        <v>1434753407.8699999</v>
      </c>
      <c r="T13" s="1479">
        <v>4.5499999999999999E-2</v>
      </c>
      <c r="U13" s="1506">
        <v>4.4000000000000004</v>
      </c>
      <c r="V13" s="1506">
        <v>46772375.689999998</v>
      </c>
      <c r="W13" s="1479">
        <v>4.3799999999999999E-2</v>
      </c>
      <c r="X13" s="1506">
        <v>7.59</v>
      </c>
      <c r="Y13" s="1506">
        <v>3875720.54</v>
      </c>
      <c r="Z13" s="1479">
        <v>3.8899999999999997E-2</v>
      </c>
      <c r="AA13" s="1506">
        <v>5.86</v>
      </c>
      <c r="AB13" s="1506">
        <v>50994044.32</v>
      </c>
      <c r="AC13" s="1479">
        <v>3.1099999999999999E-2</v>
      </c>
      <c r="AD13" s="1506">
        <v>1.5</v>
      </c>
      <c r="AE13" s="1506">
        <v>617566092.32000005</v>
      </c>
      <c r="AF13" s="1479">
        <v>3.5099999999999999E-2</v>
      </c>
      <c r="AG13" s="1506">
        <v>0.5</v>
      </c>
      <c r="AH13" s="1506">
        <f>+[7]ADMINISTRACIÓN!$I$11</f>
        <v>649293396.71000004</v>
      </c>
      <c r="AI13" s="1479">
        <v>5.04E-2</v>
      </c>
      <c r="AJ13" s="1506">
        <v>1.23</v>
      </c>
    </row>
    <row r="14" spans="2:36" s="1475" customFormat="1" ht="18" customHeight="1" x14ac:dyDescent="0.25">
      <c r="B14" s="1476" t="s">
        <v>744</v>
      </c>
      <c r="C14" s="1500"/>
      <c r="D14" s="1506">
        <f>G14+AB14+AE14+AH14</f>
        <v>2840862498.6599998</v>
      </c>
      <c r="E14" s="1523">
        <f>((G14*H14)+(AB14*AC14)+(AE14*AF14)+(AH14*AI14))/D14</f>
        <v>4.9500000000000002E-2</v>
      </c>
      <c r="F14" s="1500"/>
      <c r="G14" s="1506">
        <f>J14+M14</f>
        <v>2297190241.4699998</v>
      </c>
      <c r="H14" s="1479">
        <f>((J14*K14)+(M14*N14))/G14</f>
        <v>5.11E-2</v>
      </c>
      <c r="I14" s="1506">
        <f>((J14*L14)+(M14*O14))/G14</f>
        <v>6.68</v>
      </c>
      <c r="J14" s="1506">
        <v>75172432.819999993</v>
      </c>
      <c r="K14" s="1479">
        <v>4.9000000000000002E-2</v>
      </c>
      <c r="L14" s="1506">
        <v>6.18</v>
      </c>
      <c r="M14" s="1506">
        <f>P14+S14+V14+Y14</f>
        <v>2222017808.6500001</v>
      </c>
      <c r="N14" s="1479">
        <f>((P14*Q14)+(S14*T14)+(V14*W14)+(Y14*Z14))/M14</f>
        <v>5.1200000000000002E-2</v>
      </c>
      <c r="O14" s="1506">
        <f>((P14*R14)+(S14*U14)+(V14*X14)+(Y14*AA14))/M14</f>
        <v>6.7</v>
      </c>
      <c r="P14" s="1506">
        <v>953526345.09000003</v>
      </c>
      <c r="Q14" s="1479">
        <v>5.28E-2</v>
      </c>
      <c r="R14" s="1542">
        <v>6.05</v>
      </c>
      <c r="S14" s="1506">
        <v>1200716757.73</v>
      </c>
      <c r="T14" s="1479">
        <v>4.9700000000000001E-2</v>
      </c>
      <c r="U14" s="1506">
        <v>7.28</v>
      </c>
      <c r="V14" s="1506">
        <v>61246927.659999996</v>
      </c>
      <c r="W14" s="1479">
        <v>5.4100000000000002E-2</v>
      </c>
      <c r="X14" s="1506">
        <v>5.39</v>
      </c>
      <c r="Y14" s="1506">
        <v>6527778.1699999999</v>
      </c>
      <c r="Z14" s="1479">
        <v>5.3400000000000003E-2</v>
      </c>
      <c r="AA14" s="1506">
        <v>6.82</v>
      </c>
      <c r="AB14" s="1506">
        <v>30807909.469999999</v>
      </c>
      <c r="AC14" s="1479">
        <v>3.7600000000000001E-2</v>
      </c>
      <c r="AD14" s="1506">
        <v>0.45</v>
      </c>
      <c r="AE14" s="1506">
        <v>459309046.48000002</v>
      </c>
      <c r="AF14" s="1479">
        <v>4.1799999999999997E-2</v>
      </c>
      <c r="AG14" s="1506">
        <v>1.71</v>
      </c>
      <c r="AH14" s="1543">
        <v>53555301.240000002</v>
      </c>
      <c r="AI14" s="1480">
        <v>5.2600000000000001E-2</v>
      </c>
      <c r="AJ14" s="1506">
        <v>0.84</v>
      </c>
    </row>
    <row r="15" spans="2:36" s="151" customFormat="1" ht="6" customHeight="1" x14ac:dyDescent="0.25">
      <c r="B15" s="1476"/>
      <c r="C15" s="1511"/>
      <c r="D15" s="1504"/>
      <c r="E15" s="1507"/>
      <c r="F15" s="1511"/>
      <c r="G15" s="1506"/>
      <c r="H15" s="1479"/>
      <c r="I15" s="1479"/>
      <c r="J15" s="1506"/>
      <c r="K15" s="1479"/>
      <c r="L15" s="1479"/>
      <c r="M15" s="1506"/>
      <c r="N15" s="1479"/>
      <c r="O15" s="1479"/>
      <c r="P15" s="1479"/>
      <c r="Q15" s="1479"/>
      <c r="R15" s="1480"/>
      <c r="S15" s="1506"/>
      <c r="T15" s="1479"/>
      <c r="U15" s="1479"/>
      <c r="V15" s="1506"/>
      <c r="W15" s="1479"/>
      <c r="X15" s="1479"/>
      <c r="Y15" s="1506"/>
      <c r="Z15" s="1479"/>
      <c r="AA15" s="1479"/>
      <c r="AB15" s="1506"/>
      <c r="AC15" s="1479"/>
      <c r="AD15" s="1479"/>
      <c r="AE15" s="1506"/>
      <c r="AF15" s="1479"/>
      <c r="AG15" s="1479"/>
      <c r="AH15" s="1506"/>
      <c r="AI15" s="1479"/>
      <c r="AJ15" s="1479"/>
    </row>
    <row r="16" spans="2:36" s="147" customFormat="1" ht="18" customHeight="1" x14ac:dyDescent="0.25">
      <c r="B16" s="1502" t="s">
        <v>745</v>
      </c>
      <c r="C16" s="1500"/>
      <c r="D16" s="1544">
        <f>SUM(D17:D22)</f>
        <v>3552468690.1900001</v>
      </c>
      <c r="E16" s="1545">
        <f>((D17*E17)+(D18*E18)+(D19*E19)+(D20*E20)+(D21*E21)+(D22*E22))/D16</f>
        <v>4.7600000000000003E-2</v>
      </c>
      <c r="F16" s="1500"/>
      <c r="G16" s="1544">
        <f>SUM(G17:G22)</f>
        <v>3522811280.6900001</v>
      </c>
      <c r="H16" s="1546">
        <f>((G17*H17)+(G18*H18)+(G19*H19)+(G20*H20)+(G21*H21)+(G22*H22))/G16</f>
        <v>4.7399999999999998E-2</v>
      </c>
      <c r="I16" s="1547">
        <f>((G17*I17)+(G18*I18+G19*I19+G20*I20+G21*I21+G22*I22))/G16</f>
        <v>16.43</v>
      </c>
      <c r="J16" s="1544">
        <f>SUM(J17:J22)</f>
        <v>35929254.170000002</v>
      </c>
      <c r="K16" s="1546">
        <f>(($J$17*K17)+($J$18*K18)+($J$19*K19)+($J$20*K20)+($J$21*K21)+($J$22*K22))/$J16</f>
        <v>4.0099999999999997E-2</v>
      </c>
      <c r="L16" s="1548">
        <f>(($J$17*L17)+($J$18*L18)+($J$19*L19)+($J$20*L20)+($J$21*L21)+($J$22*L22))/$J16</f>
        <v>18.850000000000001</v>
      </c>
      <c r="M16" s="1544">
        <f>SUM(M17:M22)</f>
        <v>3486882026.52</v>
      </c>
      <c r="N16" s="1546">
        <f>((M17*N17)+(M18*N18)+(M19*N19)+(M20*N20)+(M21*N21)+(M22*N22))/M16</f>
        <v>4.7500000000000001E-2</v>
      </c>
      <c r="O16" s="1548">
        <f>(($M$17*O17)+($M$18*O18)+($M$19*O19)+($M$20*O20)+($M$21*O21)+($M$22*O22))/$M16</f>
        <v>16.41</v>
      </c>
      <c r="P16" s="1548">
        <f>SUM(P17:P22)</f>
        <v>1125743427.7</v>
      </c>
      <c r="Q16" s="1546">
        <f>((P17*Q17)+(P18*Q18)+(P19*Q19)+(P20*Q20)+(P21*Q21)+(P22*Q22))/P16</f>
        <v>4.9399999999999999E-2</v>
      </c>
      <c r="R16" s="1548">
        <f>(($P$17*R17)+($P$18*R18)+($P$19*R19)+($P$20*R20)+($P$21*R21)+($P$22*R22))/$P16</f>
        <v>17.73</v>
      </c>
      <c r="S16" s="1544">
        <f>SUM(S17:S22)</f>
        <v>2322973397.8600001</v>
      </c>
      <c r="T16" s="1546">
        <f>((S17*T17)+(S18*T18)+(S19*T19)+(S20*T20)+(S21*T21)+(S22*T22))/S16</f>
        <v>4.6800000000000001E-2</v>
      </c>
      <c r="U16" s="1548">
        <f>(($S$17*U17)+($S$18*U18)+($S$19*U19)+($S$20*U20)+($S$21*U21)+($S$22*U22))/$S16</f>
        <v>15.87</v>
      </c>
      <c r="V16" s="1544">
        <f>SUM(V17:V22)</f>
        <v>35428881.030000001</v>
      </c>
      <c r="W16" s="1546">
        <f>((V17*W17)+(V18*W18)+(V19*W19)+(V20*W20)+(V21*W21)+(V22*W22))/V16</f>
        <v>3.4799999999999998E-2</v>
      </c>
      <c r="X16" s="1548">
        <f>(($V$17*X17)+($V$18*X18)+($V$19*X19)+($V$20*X20)+($V$21*X21)+($V$22*X22))/$V16</f>
        <v>10.18</v>
      </c>
      <c r="Y16" s="1544">
        <f>SUM(Y17:Y22)</f>
        <v>2736319.93</v>
      </c>
      <c r="Z16" s="1546">
        <f>((Y17*Z17)+(Y18*Z18)+(Y19*Z19)+(Y20*Z20)+(Y21*Z21)+(Y22*Z22))/Y16</f>
        <v>3.5999999999999997E-2</v>
      </c>
      <c r="AA16" s="1548">
        <f>(($Y$17*AA17)+($Y$18*AA18)+($Y$19*AA19)+($Y$20*AA20)+($Y$21*AA21)+($Y$22*AA22))/$Y16</f>
        <v>10.87</v>
      </c>
      <c r="AB16" s="1544">
        <f>SUM(AB17:AB22)</f>
        <v>29657409.5</v>
      </c>
      <c r="AC16" s="1546">
        <f>(((AB17*AC17)+(AB18*AC18)+(AB19*AC19)+(AB20*AC20)+(AB21*AC21)+(AB22*AC22))/AB16)</f>
        <v>6.3700000000000007E-2</v>
      </c>
      <c r="AD16" s="1548">
        <f>(($AB$17*AD17)+($AB$18*AD18)+($AB$19*AD19)+($AB$20*AD20)+($AB$21*AD21)+($AB$22*AD22))/$AB16</f>
        <v>11.25</v>
      </c>
      <c r="AE16" s="1544">
        <f>SUM(AE17:AE22)</f>
        <v>0</v>
      </c>
      <c r="AF16" s="1546">
        <v>0</v>
      </c>
      <c r="AG16" s="1548">
        <v>0</v>
      </c>
      <c r="AH16" s="1544">
        <f>SUM(AH17:AH22)</f>
        <v>0</v>
      </c>
      <c r="AI16" s="1546">
        <v>0</v>
      </c>
      <c r="AJ16" s="1548">
        <v>0</v>
      </c>
    </row>
    <row r="17" spans="2:36" s="147" customFormat="1" ht="18" customHeight="1" x14ac:dyDescent="0.25">
      <c r="B17" s="1476" t="s">
        <v>746</v>
      </c>
      <c r="C17" s="1500"/>
      <c r="D17" s="1506">
        <f>G17+AB17+AE17+AH17</f>
        <v>26359200</v>
      </c>
      <c r="E17" s="1523">
        <f t="shared" ref="E17:E24" si="2">((G17*H17)+(AB17*AC17)+(AE17*AF17)+(AH17*AI17))/D17</f>
        <v>6.54E-2</v>
      </c>
      <c r="F17" s="1511"/>
      <c r="G17" s="1506">
        <f>J17+M17</f>
        <v>26359200</v>
      </c>
      <c r="H17" s="1479">
        <f>((J17*K17)+(M17*N17))/G17</f>
        <v>6.54E-2</v>
      </c>
      <c r="I17" s="1506">
        <f t="shared" ref="I17:I22" si="3">((J17*L17)+(M17*O17))/G17</f>
        <v>0.79</v>
      </c>
      <c r="J17" s="1506">
        <v>0</v>
      </c>
      <c r="K17" s="1479">
        <v>0</v>
      </c>
      <c r="L17" s="1506">
        <v>0</v>
      </c>
      <c r="M17" s="1506">
        <f t="shared" ref="M17:M22" si="4">P17+S17+V17+Y17</f>
        <v>26359200</v>
      </c>
      <c r="N17" s="1479">
        <f t="shared" ref="N17:N22" si="5">((P17*Q17)+(S17*T17)+(V17*W17)+(Y17*Z17))/M17</f>
        <v>6.54E-2</v>
      </c>
      <c r="O17" s="1506">
        <f>((P17*R17)+(S17*U17)+(V17*X17)+(Y17*AA17))/M17</f>
        <v>0.79</v>
      </c>
      <c r="P17" s="1506">
        <v>0</v>
      </c>
      <c r="Q17" s="1479">
        <v>0</v>
      </c>
      <c r="R17" s="1542">
        <v>0</v>
      </c>
      <c r="S17" s="1506">
        <v>26359200</v>
      </c>
      <c r="T17" s="1479">
        <v>6.54E-2</v>
      </c>
      <c r="U17" s="1506">
        <v>0.79</v>
      </c>
      <c r="V17" s="1506">
        <v>0</v>
      </c>
      <c r="W17" s="1479">
        <v>0</v>
      </c>
      <c r="X17" s="1506">
        <v>0</v>
      </c>
      <c r="Y17" s="1506">
        <v>0</v>
      </c>
      <c r="Z17" s="1479">
        <v>0</v>
      </c>
      <c r="AA17" s="1506">
        <v>0</v>
      </c>
      <c r="AB17" s="1506">
        <v>0</v>
      </c>
      <c r="AC17" s="1479">
        <v>0</v>
      </c>
      <c r="AD17" s="1506">
        <v>0</v>
      </c>
      <c r="AE17" s="1506">
        <v>0</v>
      </c>
      <c r="AF17" s="1479">
        <v>0</v>
      </c>
      <c r="AG17" s="1506">
        <v>0</v>
      </c>
      <c r="AH17" s="1506">
        <v>0</v>
      </c>
      <c r="AI17" s="1479">
        <v>0</v>
      </c>
      <c r="AJ17" s="1506">
        <v>0</v>
      </c>
    </row>
    <row r="18" spans="2:36" s="1475" customFormat="1" ht="18" customHeight="1" x14ac:dyDescent="0.25">
      <c r="B18" s="1476" t="s">
        <v>747</v>
      </c>
      <c r="C18" s="1477"/>
      <c r="D18" s="1506">
        <f t="shared" ref="D18:D24" si="6">G18+AB18+AE18+AH18</f>
        <v>1151219870</v>
      </c>
      <c r="E18" s="1523">
        <f t="shared" si="2"/>
        <v>4.1700000000000001E-2</v>
      </c>
      <c r="F18" s="1477"/>
      <c r="G18" s="1506">
        <f t="shared" ref="G18:G19" si="7">J18+M18</f>
        <v>1151219870</v>
      </c>
      <c r="H18" s="1479">
        <f>((J18*K18)+(M18*N18))/G18</f>
        <v>4.1700000000000001E-2</v>
      </c>
      <c r="I18" s="1506">
        <f t="shared" si="3"/>
        <v>7.85</v>
      </c>
      <c r="J18" s="1506">
        <v>0</v>
      </c>
      <c r="K18" s="1479">
        <v>0</v>
      </c>
      <c r="L18" s="1506">
        <v>0</v>
      </c>
      <c r="M18" s="1506">
        <f t="shared" si="4"/>
        <v>1151219870</v>
      </c>
      <c r="N18" s="1479">
        <f t="shared" si="5"/>
        <v>4.1700000000000001E-2</v>
      </c>
      <c r="O18" s="1506">
        <f t="shared" ref="O18:O24" si="8">((P18*R18)+(S18*U18)+(V18*X18)+(Y18*AA18))/M18</f>
        <v>7.85</v>
      </c>
      <c r="P18" s="1506">
        <v>382714589.25</v>
      </c>
      <c r="Q18" s="1479">
        <v>4.3900000000000002E-2</v>
      </c>
      <c r="R18" s="1542">
        <v>8.4</v>
      </c>
      <c r="S18" s="1506">
        <v>754511280.75</v>
      </c>
      <c r="T18" s="1479">
        <v>4.0800000000000003E-2</v>
      </c>
      <c r="U18" s="1506">
        <v>7.59</v>
      </c>
      <c r="V18" s="1506">
        <v>12386286.890000001</v>
      </c>
      <c r="W18" s="1479">
        <v>3.3599999999999998E-2</v>
      </c>
      <c r="X18" s="1506">
        <v>6.92</v>
      </c>
      <c r="Y18" s="1506">
        <v>1607713.11</v>
      </c>
      <c r="Z18" s="1479">
        <v>3.3599999999999998E-2</v>
      </c>
      <c r="AA18" s="1506">
        <v>6.92</v>
      </c>
      <c r="AB18" s="1506">
        <v>0</v>
      </c>
      <c r="AC18" s="1479">
        <v>0</v>
      </c>
      <c r="AD18" s="1506">
        <v>0</v>
      </c>
      <c r="AE18" s="1506">
        <v>0</v>
      </c>
      <c r="AF18" s="1479">
        <v>0</v>
      </c>
      <c r="AG18" s="1506">
        <v>0</v>
      </c>
      <c r="AH18" s="1506">
        <v>0</v>
      </c>
      <c r="AI18" s="1479">
        <v>0</v>
      </c>
      <c r="AJ18" s="1506">
        <v>0</v>
      </c>
    </row>
    <row r="19" spans="2:36" s="1475" customFormat="1" ht="18" customHeight="1" x14ac:dyDescent="0.25">
      <c r="B19" s="1476" t="s">
        <v>748</v>
      </c>
      <c r="C19" s="1477"/>
      <c r="D19" s="1506">
        <f t="shared" si="6"/>
        <v>119447893.59999999</v>
      </c>
      <c r="E19" s="1523">
        <f t="shared" si="2"/>
        <v>3.6799999999999999E-2</v>
      </c>
      <c r="F19" s="1477"/>
      <c r="G19" s="1506">
        <f t="shared" si="7"/>
        <v>119447893.59999999</v>
      </c>
      <c r="H19" s="1479">
        <f t="shared" ref="H19:H22" si="9">((J19*K19)+(M19*N19))/G19</f>
        <v>3.6799999999999999E-2</v>
      </c>
      <c r="I19" s="1506">
        <f t="shared" si="3"/>
        <v>1.81</v>
      </c>
      <c r="J19" s="1506">
        <v>0</v>
      </c>
      <c r="K19" s="1479">
        <v>0</v>
      </c>
      <c r="L19" s="1506">
        <v>0</v>
      </c>
      <c r="M19" s="1506">
        <f t="shared" si="4"/>
        <v>119447893.59999999</v>
      </c>
      <c r="N19" s="1479">
        <f t="shared" si="5"/>
        <v>3.6799999999999999E-2</v>
      </c>
      <c r="O19" s="1506">
        <f t="shared" si="8"/>
        <v>1.81</v>
      </c>
      <c r="P19" s="1506">
        <v>40071821.729999997</v>
      </c>
      <c r="Q19" s="1479">
        <v>3.7600000000000001E-2</v>
      </c>
      <c r="R19" s="1542">
        <v>1.71</v>
      </c>
      <c r="S19" s="1506">
        <v>69510549.359999999</v>
      </c>
      <c r="T19" s="1479">
        <v>3.7600000000000001E-2</v>
      </c>
      <c r="U19" s="1506">
        <v>1.71</v>
      </c>
      <c r="V19" s="1506">
        <v>9626529.6600000001</v>
      </c>
      <c r="W19" s="1479">
        <v>2.7900000000000001E-2</v>
      </c>
      <c r="X19" s="1506">
        <v>2.88</v>
      </c>
      <c r="Y19" s="1506">
        <v>238992.85</v>
      </c>
      <c r="Z19" s="1479">
        <v>2.81E-2</v>
      </c>
      <c r="AA19" s="1506">
        <v>2.85</v>
      </c>
      <c r="AB19" s="1506">
        <v>0</v>
      </c>
      <c r="AC19" s="1479">
        <v>0</v>
      </c>
      <c r="AD19" s="1506">
        <v>0</v>
      </c>
      <c r="AE19" s="1506">
        <v>0</v>
      </c>
      <c r="AF19" s="1479">
        <v>0</v>
      </c>
      <c r="AG19" s="1506">
        <v>0</v>
      </c>
      <c r="AH19" s="1506">
        <v>0</v>
      </c>
      <c r="AI19" s="1479">
        <v>0</v>
      </c>
      <c r="AJ19" s="1506">
        <v>0</v>
      </c>
    </row>
    <row r="20" spans="2:36" s="1475" customFormat="1" ht="18" customHeight="1" x14ac:dyDescent="0.25">
      <c r="B20" s="1476" t="s">
        <v>749</v>
      </c>
      <c r="C20" s="1477"/>
      <c r="D20" s="1506">
        <f t="shared" si="6"/>
        <v>1849705726.5899999</v>
      </c>
      <c r="E20" s="1523">
        <f t="shared" si="2"/>
        <v>5.4899999999999997E-2</v>
      </c>
      <c r="F20" s="1477"/>
      <c r="G20" s="1506">
        <f>J20+M20</f>
        <v>1820048317.0899999</v>
      </c>
      <c r="H20" s="1479">
        <f t="shared" si="9"/>
        <v>5.4800000000000001E-2</v>
      </c>
      <c r="I20" s="1506">
        <f t="shared" si="3"/>
        <v>25.34</v>
      </c>
      <c r="J20" s="1506">
        <v>23974008.25</v>
      </c>
      <c r="K20" s="1479">
        <f>Hoja9!I15</f>
        <v>4.5199999999999997E-2</v>
      </c>
      <c r="L20" s="1508">
        <v>25.71</v>
      </c>
      <c r="M20" s="1506">
        <f>P20+S20+V20+Y20</f>
        <v>1796074308.8399999</v>
      </c>
      <c r="N20" s="1479">
        <f t="shared" si="5"/>
        <v>5.4899999999999997E-2</v>
      </c>
      <c r="O20" s="1506">
        <f t="shared" si="8"/>
        <v>25.34</v>
      </c>
      <c r="P20" s="1506">
        <v>577494161.02999997</v>
      </c>
      <c r="Q20" s="1479">
        <v>5.7299999999999997E-2</v>
      </c>
      <c r="R20" s="1549">
        <v>27.41</v>
      </c>
      <c r="S20" s="1506">
        <v>1208217747.45</v>
      </c>
      <c r="T20" s="1479">
        <v>5.3900000000000003E-2</v>
      </c>
      <c r="U20" s="1508">
        <v>24.37</v>
      </c>
      <c r="V20" s="1506">
        <v>9648187.2400000002</v>
      </c>
      <c r="W20" s="1479">
        <v>4.5100000000000001E-2</v>
      </c>
      <c r="X20" s="1508">
        <v>23.62</v>
      </c>
      <c r="Y20" s="1506">
        <v>714213.12</v>
      </c>
      <c r="Z20" s="1479">
        <v>4.5499999999999999E-2</v>
      </c>
      <c r="AA20" s="1508">
        <v>23.88</v>
      </c>
      <c r="AB20" s="1506">
        <v>29657409.5</v>
      </c>
      <c r="AC20" s="1479">
        <v>6.3700000000000007E-2</v>
      </c>
      <c r="AD20" s="1508">
        <v>11.25</v>
      </c>
      <c r="AE20" s="1506">
        <v>0</v>
      </c>
      <c r="AF20" s="1479">
        <v>0</v>
      </c>
      <c r="AG20" s="1508">
        <v>0</v>
      </c>
      <c r="AH20" s="1506">
        <v>0</v>
      </c>
      <c r="AI20" s="1479">
        <v>0</v>
      </c>
      <c r="AJ20" s="1508">
        <v>0</v>
      </c>
    </row>
    <row r="21" spans="2:36" s="1475" customFormat="1" ht="18" customHeight="1" x14ac:dyDescent="0.25">
      <c r="B21" s="1476" t="s">
        <v>750</v>
      </c>
      <c r="C21" s="1477"/>
      <c r="D21" s="1506">
        <f t="shared" si="6"/>
        <v>205736000</v>
      </c>
      <c r="E21" s="1523">
        <f t="shared" si="2"/>
        <v>0.03</v>
      </c>
      <c r="F21" s="1477"/>
      <c r="G21" s="1506">
        <f t="shared" ref="G21:G22" si="10">J21+M21</f>
        <v>205736000</v>
      </c>
      <c r="H21" s="1479">
        <f t="shared" si="9"/>
        <v>0.03</v>
      </c>
      <c r="I21" s="1506">
        <f t="shared" si="3"/>
        <v>5.39</v>
      </c>
      <c r="J21" s="1506">
        <v>11955245.92</v>
      </c>
      <c r="K21" s="1479">
        <v>0.03</v>
      </c>
      <c r="L21" s="1508">
        <v>5.09</v>
      </c>
      <c r="M21" s="1506">
        <f t="shared" si="4"/>
        <v>193780754.08000001</v>
      </c>
      <c r="N21" s="1479">
        <f t="shared" si="5"/>
        <v>0.03</v>
      </c>
      <c r="O21" s="1506">
        <f t="shared" si="8"/>
        <v>5.41</v>
      </c>
      <c r="P21" s="1506">
        <f>Hoja10!F94</f>
        <v>43962855.689999998</v>
      </c>
      <c r="Q21" s="1479">
        <f>Hoja10!I94</f>
        <v>0.03</v>
      </c>
      <c r="R21" s="1549">
        <v>6.52</v>
      </c>
      <c r="S21" s="1506">
        <f>Hoja10!F219</f>
        <v>145874620.30000001</v>
      </c>
      <c r="T21" s="1479">
        <v>0.03</v>
      </c>
      <c r="U21" s="1508">
        <v>5.09</v>
      </c>
      <c r="V21" s="1506">
        <v>3767877.24</v>
      </c>
      <c r="W21" s="1479">
        <v>0.03</v>
      </c>
      <c r="X21" s="1508">
        <v>5.09</v>
      </c>
      <c r="Y21" s="1506">
        <v>175400.85</v>
      </c>
      <c r="Z21" s="1479">
        <v>0.03</v>
      </c>
      <c r="AA21" s="1508">
        <v>5.09</v>
      </c>
      <c r="AB21" s="1506">
        <v>0</v>
      </c>
      <c r="AC21" s="1479">
        <v>0</v>
      </c>
      <c r="AD21" s="1508">
        <v>0</v>
      </c>
      <c r="AE21" s="1506">
        <v>0</v>
      </c>
      <c r="AF21" s="1479">
        <v>0</v>
      </c>
      <c r="AG21" s="1508">
        <v>0</v>
      </c>
      <c r="AH21" s="1506">
        <v>0</v>
      </c>
      <c r="AI21" s="1479">
        <v>0</v>
      </c>
      <c r="AJ21" s="1508">
        <v>0</v>
      </c>
    </row>
    <row r="22" spans="2:36" s="1475" customFormat="1" ht="18" customHeight="1" x14ac:dyDescent="0.25">
      <c r="B22" s="1476" t="s">
        <v>751</v>
      </c>
      <c r="C22" s="1477"/>
      <c r="D22" s="1506">
        <f t="shared" si="6"/>
        <v>200000000</v>
      </c>
      <c r="E22" s="1523">
        <f t="shared" si="2"/>
        <v>3.5499999999999997E-2</v>
      </c>
      <c r="F22" s="1477"/>
      <c r="G22" s="1506">
        <f t="shared" si="10"/>
        <v>200000000</v>
      </c>
      <c r="H22" s="1479">
        <f t="shared" si="9"/>
        <v>3.5499999999999997E-2</v>
      </c>
      <c r="I22" s="1506">
        <f t="shared" si="3"/>
        <v>6.89</v>
      </c>
      <c r="J22" s="1506">
        <v>0</v>
      </c>
      <c r="K22" s="1479">
        <v>0</v>
      </c>
      <c r="L22" s="1506">
        <v>0</v>
      </c>
      <c r="M22" s="1506">
        <f t="shared" si="4"/>
        <v>200000000</v>
      </c>
      <c r="N22" s="1479">
        <f t="shared" si="5"/>
        <v>3.5499999999999997E-2</v>
      </c>
      <c r="O22" s="1506">
        <f t="shared" si="8"/>
        <v>6.89</v>
      </c>
      <c r="P22" s="1506">
        <f>Hoja10!F95+Hoja10!F96</f>
        <v>81500000</v>
      </c>
      <c r="Q22" s="1479">
        <f>Hoja10!I97</f>
        <v>3.5499999999999997E-2</v>
      </c>
      <c r="R22" s="1542">
        <v>6.9</v>
      </c>
      <c r="S22" s="1506">
        <f>SUM(Hoja10!F220:F223)</f>
        <v>118500000</v>
      </c>
      <c r="T22" s="1479">
        <f>Hoja10!I224</f>
        <v>3.5499999999999997E-2</v>
      </c>
      <c r="U22" s="1506">
        <v>6.88</v>
      </c>
      <c r="V22" s="1506">
        <v>0</v>
      </c>
      <c r="W22" s="1479">
        <v>0</v>
      </c>
      <c r="X22" s="1506">
        <v>0</v>
      </c>
      <c r="Y22" s="1506">
        <v>0</v>
      </c>
      <c r="Z22" s="1479">
        <v>0</v>
      </c>
      <c r="AA22" s="1506">
        <v>0</v>
      </c>
      <c r="AB22" s="1506">
        <v>0</v>
      </c>
      <c r="AC22" s="1479">
        <v>0</v>
      </c>
      <c r="AD22" s="1506">
        <v>0</v>
      </c>
      <c r="AE22" s="1506">
        <v>0</v>
      </c>
      <c r="AF22" s="1479">
        <v>0</v>
      </c>
      <c r="AG22" s="1506">
        <v>0</v>
      </c>
      <c r="AH22" s="1506">
        <v>0</v>
      </c>
      <c r="AI22" s="1479">
        <v>0</v>
      </c>
      <c r="AJ22" s="1506">
        <v>0</v>
      </c>
    </row>
    <row r="23" spans="2:36" s="1475" customFormat="1" ht="6" customHeight="1" x14ac:dyDescent="0.25">
      <c r="B23" s="1504"/>
      <c r="C23" s="1477"/>
      <c r="D23" s="1504"/>
      <c r="E23" s="1505"/>
      <c r="F23" s="1477"/>
      <c r="G23" s="1506"/>
      <c r="H23" s="1479"/>
      <c r="I23" s="1479"/>
      <c r="J23" s="1506"/>
      <c r="K23" s="1479"/>
      <c r="L23" s="1479"/>
      <c r="M23" s="1506"/>
      <c r="N23" s="1479"/>
      <c r="O23" s="1479"/>
      <c r="P23" s="1479"/>
      <c r="Q23" s="1479"/>
      <c r="R23" s="1480"/>
      <c r="S23" s="1506"/>
      <c r="T23" s="1479"/>
      <c r="U23" s="1479"/>
      <c r="V23" s="1506"/>
      <c r="W23" s="1479"/>
      <c r="X23" s="1479"/>
      <c r="Y23" s="1506"/>
      <c r="Z23" s="1479"/>
      <c r="AA23" s="1479"/>
      <c r="AB23" s="1506"/>
      <c r="AC23" s="1479"/>
      <c r="AD23" s="1479"/>
      <c r="AE23" s="1506"/>
      <c r="AF23" s="1479"/>
      <c r="AG23" s="1479"/>
      <c r="AH23" s="1506"/>
      <c r="AI23" s="1479"/>
      <c r="AJ23" s="1479"/>
    </row>
    <row r="24" spans="2:36" s="1475" customFormat="1" ht="18" customHeight="1" x14ac:dyDescent="0.25">
      <c r="B24" s="1502" t="s">
        <v>752</v>
      </c>
      <c r="C24" s="1477"/>
      <c r="D24" s="1544">
        <f t="shared" si="6"/>
        <v>516635131.04000002</v>
      </c>
      <c r="E24" s="1545">
        <f t="shared" si="2"/>
        <v>5.0799999999999998E-2</v>
      </c>
      <c r="F24" s="1500"/>
      <c r="G24" s="1544">
        <f>J24+M24</f>
        <v>483015574.93000001</v>
      </c>
      <c r="H24" s="1546">
        <f>((J24*K24)+(M24*N24))/G24</f>
        <v>5.0099999999999999E-2</v>
      </c>
      <c r="I24" s="1544">
        <f>((J24*L24)+(M24*O24))/G24</f>
        <v>3.54</v>
      </c>
      <c r="J24" s="1544">
        <v>0</v>
      </c>
      <c r="K24" s="1546">
        <v>0</v>
      </c>
      <c r="L24" s="1544">
        <v>0</v>
      </c>
      <c r="M24" s="1544">
        <f>P24+S24+V24+Y24</f>
        <v>483015574.93000001</v>
      </c>
      <c r="N24" s="1546">
        <f>((P24*Q24)+(S24*T24)+(V24*W24)+(Y24*Z24))/M24</f>
        <v>5.0099999999999999E-2</v>
      </c>
      <c r="O24" s="1544">
        <f t="shared" si="8"/>
        <v>3.54</v>
      </c>
      <c r="P24" s="1544">
        <f>63000000+63000000+31500000+212.35</f>
        <v>157500212.34999999</v>
      </c>
      <c r="Q24" s="1546">
        <v>4.7600000000000003E-2</v>
      </c>
      <c r="R24" s="1550">
        <v>3.8</v>
      </c>
      <c r="S24" s="1544">
        <v>270858715.13</v>
      </c>
      <c r="T24" s="1546">
        <v>4.8899999999999999E-2</v>
      </c>
      <c r="U24" s="1544">
        <v>3.78</v>
      </c>
      <c r="V24" s="1544">
        <v>54263732.130000003</v>
      </c>
      <c r="W24" s="1546">
        <v>6.3600000000000004E-2</v>
      </c>
      <c r="X24" s="1544">
        <v>1.61</v>
      </c>
      <c r="Y24" s="1544">
        <v>392915.32</v>
      </c>
      <c r="Z24" s="1546">
        <v>5.6000000000000001E-2</v>
      </c>
      <c r="AA24" s="1544">
        <v>1</v>
      </c>
      <c r="AB24" s="1544">
        <v>0</v>
      </c>
      <c r="AC24" s="1546">
        <v>0</v>
      </c>
      <c r="AD24" s="1544">
        <v>0</v>
      </c>
      <c r="AE24" s="1544">
        <v>1923539.11</v>
      </c>
      <c r="AF24" s="1546">
        <v>0.06</v>
      </c>
      <c r="AG24" s="1544">
        <v>1</v>
      </c>
      <c r="AH24" s="1544">
        <v>31696017</v>
      </c>
      <c r="AI24" s="1546">
        <v>6.0999999999999999E-2</v>
      </c>
      <c r="AJ24" s="1544">
        <v>1.53</v>
      </c>
    </row>
    <row r="25" spans="2:36" s="151" customFormat="1" ht="6" customHeight="1" x14ac:dyDescent="0.25">
      <c r="B25" s="1476"/>
      <c r="C25" s="1511"/>
      <c r="D25" s="1504"/>
      <c r="E25" s="1507"/>
      <c r="F25" s="1477"/>
      <c r="G25" s="1506"/>
      <c r="H25" s="1479"/>
      <c r="I25" s="1479"/>
      <c r="J25" s="1506"/>
      <c r="K25" s="1479"/>
      <c r="L25" s="1479"/>
      <c r="M25" s="1506"/>
      <c r="N25" s="1479"/>
      <c r="O25" s="1479"/>
      <c r="P25" s="1479"/>
      <c r="Q25" s="1479"/>
      <c r="R25" s="1480"/>
      <c r="S25" s="1506"/>
      <c r="T25" s="1479"/>
      <c r="U25" s="1479"/>
      <c r="V25" s="1508"/>
      <c r="W25" s="1479"/>
      <c r="X25" s="1479"/>
      <c r="Y25" s="1506"/>
      <c r="Z25" s="1479"/>
      <c r="AA25" s="1479"/>
      <c r="AB25" s="1506"/>
      <c r="AC25" s="1479"/>
      <c r="AD25" s="1479"/>
      <c r="AE25" s="1506"/>
      <c r="AF25" s="1479"/>
      <c r="AG25" s="1479"/>
      <c r="AH25" s="1506"/>
      <c r="AI25" s="1479"/>
      <c r="AJ25" s="1479"/>
    </row>
    <row r="26" spans="2:36" s="147" customFormat="1" ht="18" customHeight="1" x14ac:dyDescent="0.25">
      <c r="B26" s="1502" t="s">
        <v>753</v>
      </c>
      <c r="C26" s="1505"/>
      <c r="D26" s="1544">
        <f>SUM(D27:D31)</f>
        <v>144371000</v>
      </c>
      <c r="E26" s="1545">
        <f>+(D27*E27+D28*E28+D29*E29+D30*E30+D31*E31)/D26</f>
        <v>5.5100000000000003E-2</v>
      </c>
      <c r="F26" s="1511"/>
      <c r="G26" s="1544">
        <f>SUM(G27:G31)</f>
        <v>94371000</v>
      </c>
      <c r="H26" s="1546">
        <f>+(G27*H27+G28*H28+G29*H29+G30*H30+G31*H31)/G26</f>
        <v>5.4100000000000002E-2</v>
      </c>
      <c r="I26" s="1547">
        <f>((G27*I27)+(G28*I28+G29*I29+G30*I30+G31*I31))/G26</f>
        <v>3.31</v>
      </c>
      <c r="J26" s="1544">
        <f>SUM(J27:J31)</f>
        <v>0</v>
      </c>
      <c r="K26" s="1546">
        <f>SUM(K27:K31)</f>
        <v>0</v>
      </c>
      <c r="L26" s="1544">
        <f>SUM(L27:L31)</f>
        <v>0</v>
      </c>
      <c r="M26" s="1544">
        <f>SUM(M27:M31)</f>
        <v>94371000</v>
      </c>
      <c r="N26" s="1546">
        <f>+(M27*N27+M28*N28+M29*N29+M30*N30+M31*N31)/M26</f>
        <v>5.4100000000000002E-2</v>
      </c>
      <c r="O26" s="1548">
        <f>(($M$27*O27)+($M$28*O28)+($M$29*O29)+($M$30*O30)+($M$31*O31))/$M26</f>
        <v>3.31</v>
      </c>
      <c r="P26" s="1544">
        <f>SUM(P27:P31)</f>
        <v>37505548.609999999</v>
      </c>
      <c r="Q26" s="1546">
        <f>+(P27*Q27+P28*Q28+P29*Q29+P31*Q31)/P26</f>
        <v>4.7300000000000002E-2</v>
      </c>
      <c r="R26" s="1548">
        <f>+(P27*R27+P28*R28+P29*R29+P30*R30+P31*R31)/P26</f>
        <v>2.41</v>
      </c>
      <c r="S26" s="1544">
        <f>SUM(S27:S31)</f>
        <v>56865451.390000001</v>
      </c>
      <c r="T26" s="1546">
        <f>+(S27*T27+S28*T28+S29*T29+S30*T30+S31*T31)/S26</f>
        <v>5.8599999999999999E-2</v>
      </c>
      <c r="U26" s="1548">
        <f>+(S27*U27+S28*U28+S29*U29+S30*U30+S31*U31)/S26</f>
        <v>3.91</v>
      </c>
      <c r="V26" s="1548">
        <v>0</v>
      </c>
      <c r="W26" s="1546">
        <v>0</v>
      </c>
      <c r="X26" s="1548">
        <v>0</v>
      </c>
      <c r="Y26" s="1544">
        <v>0</v>
      </c>
      <c r="Z26" s="1546">
        <v>0</v>
      </c>
      <c r="AA26" s="1544">
        <v>0</v>
      </c>
      <c r="AB26" s="1544">
        <f t="shared" ref="AB26:AI26" si="11">SUM(AB27:AB31)</f>
        <v>0</v>
      </c>
      <c r="AC26" s="1546">
        <f t="shared" si="11"/>
        <v>0</v>
      </c>
      <c r="AD26" s="1544">
        <v>0</v>
      </c>
      <c r="AE26" s="1544">
        <f t="shared" si="11"/>
        <v>50000000</v>
      </c>
      <c r="AF26" s="1546">
        <f>((AE27*AF27)+(AE29*AF29))/AE26</f>
        <v>5.7000000000000002E-2</v>
      </c>
      <c r="AG26" s="1548">
        <f>+(AE27*AG27+AE28*AG28+AE29*AG29+AE30*AG30+AE31*AG31)/AE26</f>
        <v>0.88</v>
      </c>
      <c r="AH26" s="1544">
        <f t="shared" si="11"/>
        <v>0</v>
      </c>
      <c r="AI26" s="1546">
        <f t="shared" si="11"/>
        <v>0</v>
      </c>
      <c r="AJ26" s="1544">
        <v>0</v>
      </c>
    </row>
    <row r="27" spans="2:36" s="147" customFormat="1" ht="18" customHeight="1" x14ac:dyDescent="0.25">
      <c r="B27" s="1476" t="s">
        <v>754</v>
      </c>
      <c r="C27" s="1505"/>
      <c r="D27" s="1506">
        <f t="shared" ref="D27:D33" si="12">G27+AB27+AE27+AH27</f>
        <v>20000000</v>
      </c>
      <c r="E27" s="1523">
        <f t="shared" ref="E27:E31" si="13">((G27*H27)+(AB27*AC27)+(AE27*AF27)+(AH27*AI27))/D27</f>
        <v>0.06</v>
      </c>
      <c r="F27" s="1511"/>
      <c r="G27" s="1506">
        <f>J27+M27</f>
        <v>0</v>
      </c>
      <c r="H27" s="1479">
        <v>0</v>
      </c>
      <c r="I27" s="1506">
        <v>0</v>
      </c>
      <c r="J27" s="1506">
        <v>0</v>
      </c>
      <c r="K27" s="1479">
        <v>0</v>
      </c>
      <c r="L27" s="1506">
        <v>0</v>
      </c>
      <c r="M27" s="1506">
        <f>P27+S27+V27+Y27</f>
        <v>0</v>
      </c>
      <c r="N27" s="1479">
        <v>0</v>
      </c>
      <c r="O27" s="1506">
        <v>0</v>
      </c>
      <c r="P27" s="1506">
        <v>0</v>
      </c>
      <c r="Q27" s="1479">
        <v>0</v>
      </c>
      <c r="R27" s="1542">
        <v>0</v>
      </c>
      <c r="S27" s="1506">
        <v>0</v>
      </c>
      <c r="T27" s="1479">
        <v>0</v>
      </c>
      <c r="U27" s="1506">
        <v>0</v>
      </c>
      <c r="V27" s="1508">
        <v>0</v>
      </c>
      <c r="W27" s="1479">
        <v>0</v>
      </c>
      <c r="X27" s="1506">
        <v>0</v>
      </c>
      <c r="Y27" s="1506">
        <v>0</v>
      </c>
      <c r="Z27" s="1479">
        <v>0</v>
      </c>
      <c r="AA27" s="1506">
        <v>0</v>
      </c>
      <c r="AB27" s="1506">
        <v>0</v>
      </c>
      <c r="AC27" s="1479">
        <v>0</v>
      </c>
      <c r="AD27" s="1506">
        <v>0</v>
      </c>
      <c r="AE27" s="1506">
        <v>20000000</v>
      </c>
      <c r="AF27" s="1479">
        <v>0.06</v>
      </c>
      <c r="AG27" s="1506">
        <v>1.1000000000000001</v>
      </c>
      <c r="AH27" s="1506">
        <v>0</v>
      </c>
      <c r="AI27" s="1479">
        <v>0</v>
      </c>
      <c r="AJ27" s="1506">
        <v>0</v>
      </c>
    </row>
    <row r="28" spans="2:36" s="147" customFormat="1" ht="18" customHeight="1" x14ac:dyDescent="0.25">
      <c r="B28" s="1476" t="s">
        <v>756</v>
      </c>
      <c r="C28" s="1505"/>
      <c r="D28" s="1506">
        <f t="shared" si="12"/>
        <v>34371000</v>
      </c>
      <c r="E28" s="1523">
        <f t="shared" si="13"/>
        <v>4.4699999999999997E-2</v>
      </c>
      <c r="F28" s="1500"/>
      <c r="G28" s="1551">
        <f>J28+M28</f>
        <v>34371000</v>
      </c>
      <c r="H28" s="1552">
        <f>((J28*K28)+(M28*N28))/G28</f>
        <v>4.4699999999999997E-2</v>
      </c>
      <c r="I28" s="1506">
        <f t="shared" ref="I28:I33" si="14">((J28*L28)+(M28*O28))/G28</f>
        <v>4.2300000000000004</v>
      </c>
      <c r="J28" s="1506">
        <v>0</v>
      </c>
      <c r="K28" s="1479">
        <v>0</v>
      </c>
      <c r="L28" s="1506">
        <v>0</v>
      </c>
      <c r="M28" s="1506">
        <f>P28+S28+V28+Y28</f>
        <v>34371000</v>
      </c>
      <c r="N28" s="1479">
        <f>((P28*Q28)+(S28*T28)+(V28*W28)+(Y28*Z28))/M28</f>
        <v>4.4699999999999997E-2</v>
      </c>
      <c r="O28" s="1506">
        <f t="shared" ref="O28:O33" si="15">((P28*R28)+(S28*U28)+(V28*X28)+(Y28*AA28))/M28</f>
        <v>4.2300000000000004</v>
      </c>
      <c r="P28" s="1506">
        <f>Hoja10!F97</f>
        <v>26407020</v>
      </c>
      <c r="Q28" s="1479">
        <f>Hoja10!I100</f>
        <v>4.19E-2</v>
      </c>
      <c r="R28" s="1542">
        <v>3.11</v>
      </c>
      <c r="S28" s="1506">
        <f>Hoja10!F225</f>
        <v>7963980</v>
      </c>
      <c r="T28" s="1479">
        <v>5.3999999999999999E-2</v>
      </c>
      <c r="U28" s="1506">
        <v>7.96</v>
      </c>
      <c r="V28" s="1508">
        <v>0</v>
      </c>
      <c r="W28" s="1479">
        <v>0</v>
      </c>
      <c r="X28" s="1506">
        <v>0</v>
      </c>
      <c r="Y28" s="1506">
        <v>0</v>
      </c>
      <c r="Z28" s="1479">
        <v>0</v>
      </c>
      <c r="AA28" s="1506">
        <v>0</v>
      </c>
      <c r="AB28" s="1506">
        <v>0</v>
      </c>
      <c r="AC28" s="1479">
        <v>0</v>
      </c>
      <c r="AD28" s="1506">
        <v>0</v>
      </c>
      <c r="AE28" s="1506">
        <v>0</v>
      </c>
      <c r="AF28" s="1479">
        <v>0</v>
      </c>
      <c r="AG28" s="1506">
        <v>0</v>
      </c>
      <c r="AH28" s="1506">
        <v>0</v>
      </c>
      <c r="AI28" s="1479">
        <v>0</v>
      </c>
      <c r="AJ28" s="1506">
        <v>0</v>
      </c>
    </row>
    <row r="29" spans="2:36" s="147" customFormat="1" ht="18" customHeight="1" x14ac:dyDescent="0.25">
      <c r="B29" s="1476" t="s">
        <v>757</v>
      </c>
      <c r="C29" s="1505"/>
      <c r="D29" s="1506">
        <f t="shared" si="12"/>
        <v>30000000</v>
      </c>
      <c r="E29" s="1523">
        <f t="shared" si="13"/>
        <v>5.5E-2</v>
      </c>
      <c r="F29" s="1500"/>
      <c r="G29" s="1551">
        <f>J29+M29</f>
        <v>0</v>
      </c>
      <c r="H29" s="1479">
        <v>0</v>
      </c>
      <c r="I29" s="1506">
        <v>0</v>
      </c>
      <c r="J29" s="1506">
        <v>0</v>
      </c>
      <c r="K29" s="1479">
        <v>0</v>
      </c>
      <c r="L29" s="1506">
        <v>0</v>
      </c>
      <c r="M29" s="1506">
        <f>P29+S29+V29+Y29</f>
        <v>0</v>
      </c>
      <c r="N29" s="1479">
        <v>0</v>
      </c>
      <c r="O29" s="1506">
        <v>0</v>
      </c>
      <c r="P29" s="1506">
        <v>0</v>
      </c>
      <c r="Q29" s="1479">
        <v>0</v>
      </c>
      <c r="R29" s="1542">
        <v>0</v>
      </c>
      <c r="S29" s="1506">
        <v>0</v>
      </c>
      <c r="T29" s="1479">
        <v>0</v>
      </c>
      <c r="U29" s="1506">
        <v>0</v>
      </c>
      <c r="V29" s="1508">
        <v>0</v>
      </c>
      <c r="W29" s="1479">
        <v>0</v>
      </c>
      <c r="X29" s="1506">
        <v>0</v>
      </c>
      <c r="Y29" s="1506">
        <v>0</v>
      </c>
      <c r="Z29" s="1479">
        <v>0</v>
      </c>
      <c r="AA29" s="1506">
        <v>0</v>
      </c>
      <c r="AB29" s="1506">
        <v>0</v>
      </c>
      <c r="AC29" s="1479">
        <v>0</v>
      </c>
      <c r="AD29" s="1506">
        <v>0</v>
      </c>
      <c r="AE29" s="1506">
        <v>30000000</v>
      </c>
      <c r="AF29" s="1479">
        <v>5.5E-2</v>
      </c>
      <c r="AG29" s="1506">
        <v>0.74</v>
      </c>
      <c r="AH29" s="1506">
        <v>0</v>
      </c>
      <c r="AI29" s="1479">
        <v>0</v>
      </c>
      <c r="AJ29" s="1506">
        <v>0</v>
      </c>
    </row>
    <row r="30" spans="2:36" s="147" customFormat="1" ht="18" customHeight="1" x14ac:dyDescent="0.25">
      <c r="B30" s="1476" t="s">
        <v>757</v>
      </c>
      <c r="C30" s="1505"/>
      <c r="D30" s="1506">
        <f t="shared" si="12"/>
        <v>30000000</v>
      </c>
      <c r="E30" s="1523">
        <f t="shared" si="13"/>
        <v>5.8999999999999997E-2</v>
      </c>
      <c r="F30" s="1500"/>
      <c r="G30" s="1551">
        <f>J30+M30</f>
        <v>30000000</v>
      </c>
      <c r="H30" s="1552">
        <f>((J30*K30)+(M30*N30))/G30</f>
        <v>5.8999999999999997E-2</v>
      </c>
      <c r="I30" s="1506">
        <f t="shared" si="14"/>
        <v>4.82</v>
      </c>
      <c r="J30" s="1506">
        <v>0</v>
      </c>
      <c r="K30" s="1479">
        <v>0</v>
      </c>
      <c r="L30" s="1506">
        <v>0</v>
      </c>
      <c r="M30" s="1506">
        <f>P30+S30+V30+Y30</f>
        <v>30000000</v>
      </c>
      <c r="N30" s="1479">
        <f>((P30*Q30)+(S30*T30)+(V30*W30)+(Y30*Z30))/M30</f>
        <v>5.8999999999999997E-2</v>
      </c>
      <c r="O30" s="1506">
        <f t="shared" si="15"/>
        <v>4.82</v>
      </c>
      <c r="P30" s="1506">
        <v>0</v>
      </c>
      <c r="Q30" s="1479">
        <v>0</v>
      </c>
      <c r="R30" s="1542">
        <v>0</v>
      </c>
      <c r="S30" s="1506">
        <v>30000000</v>
      </c>
      <c r="T30" s="1479">
        <v>5.8999999999999997E-2</v>
      </c>
      <c r="U30" s="1506">
        <v>4.82</v>
      </c>
      <c r="V30" s="1508">
        <v>0</v>
      </c>
      <c r="W30" s="1479">
        <v>0</v>
      </c>
      <c r="X30" s="1506">
        <v>0</v>
      </c>
      <c r="Y30" s="1506">
        <v>0</v>
      </c>
      <c r="Z30" s="1479">
        <v>0</v>
      </c>
      <c r="AA30" s="1506">
        <v>0</v>
      </c>
      <c r="AB30" s="1506">
        <v>0</v>
      </c>
      <c r="AC30" s="1479">
        <v>0</v>
      </c>
      <c r="AD30" s="1506">
        <v>0</v>
      </c>
      <c r="AE30" s="1506">
        <v>0</v>
      </c>
      <c r="AF30" s="1479">
        <v>0</v>
      </c>
      <c r="AG30" s="1506">
        <v>0</v>
      </c>
      <c r="AH30" s="1506">
        <v>0</v>
      </c>
      <c r="AI30" s="1479">
        <v>0</v>
      </c>
      <c r="AJ30" s="1506">
        <v>0</v>
      </c>
    </row>
    <row r="31" spans="2:36" s="147" customFormat="1" ht="18" customHeight="1" x14ac:dyDescent="0.25">
      <c r="B31" s="1476" t="s">
        <v>758</v>
      </c>
      <c r="C31" s="1505"/>
      <c r="D31" s="1506">
        <f t="shared" si="12"/>
        <v>30000000</v>
      </c>
      <c r="E31" s="1523">
        <f t="shared" si="13"/>
        <v>0.06</v>
      </c>
      <c r="F31" s="1511"/>
      <c r="G31" s="1551">
        <f>J31+M31</f>
        <v>30000000</v>
      </c>
      <c r="H31" s="1552">
        <f>((J31*K31)+(M31*N31))/G31</f>
        <v>0.06</v>
      </c>
      <c r="I31" s="1506">
        <f t="shared" si="14"/>
        <v>0.76</v>
      </c>
      <c r="J31" s="1506">
        <v>0</v>
      </c>
      <c r="K31" s="1479">
        <v>0</v>
      </c>
      <c r="L31" s="1506">
        <v>0</v>
      </c>
      <c r="M31" s="1506">
        <f>P31+S31+V31+Y31</f>
        <v>30000000</v>
      </c>
      <c r="N31" s="1479">
        <f>((P31*Q31)+(S31*T31)+(V31*W31)+(Y31*Z31))/M31</f>
        <v>0.06</v>
      </c>
      <c r="O31" s="1506">
        <f t="shared" si="15"/>
        <v>0.76</v>
      </c>
      <c r="P31" s="1506">
        <v>11098528.609999999</v>
      </c>
      <c r="Q31" s="1479">
        <v>0.06</v>
      </c>
      <c r="R31" s="1542">
        <v>0.76</v>
      </c>
      <c r="S31" s="1506">
        <v>18901471.390000001</v>
      </c>
      <c r="T31" s="1479">
        <v>0.06</v>
      </c>
      <c r="U31" s="1506">
        <v>0.76</v>
      </c>
      <c r="V31" s="1508">
        <v>0</v>
      </c>
      <c r="W31" s="1479">
        <v>0</v>
      </c>
      <c r="X31" s="1506">
        <v>0</v>
      </c>
      <c r="Y31" s="1506">
        <v>0</v>
      </c>
      <c r="Z31" s="1479">
        <v>0</v>
      </c>
      <c r="AA31" s="1506">
        <v>0</v>
      </c>
      <c r="AB31" s="1506">
        <v>0</v>
      </c>
      <c r="AC31" s="1479">
        <v>0</v>
      </c>
      <c r="AD31" s="1506">
        <v>0</v>
      </c>
      <c r="AE31" s="1506">
        <v>0</v>
      </c>
      <c r="AF31" s="1479">
        <v>0</v>
      </c>
      <c r="AG31" s="1506">
        <v>0</v>
      </c>
      <c r="AH31" s="1506">
        <v>0</v>
      </c>
      <c r="AI31" s="1479">
        <v>0</v>
      </c>
      <c r="AJ31" s="1506">
        <v>0</v>
      </c>
    </row>
    <row r="32" spans="2:36" s="147" customFormat="1" ht="6" customHeight="1" x14ac:dyDescent="0.25">
      <c r="B32" s="1502"/>
      <c r="C32" s="1505"/>
      <c r="D32" s="1506"/>
      <c r="E32" s="1479"/>
      <c r="F32" s="1511"/>
      <c r="G32" s="1506"/>
      <c r="H32" s="1479"/>
      <c r="I32" s="1479"/>
      <c r="J32" s="1506"/>
      <c r="K32" s="1479"/>
      <c r="L32" s="1479"/>
      <c r="M32" s="1506"/>
      <c r="N32" s="1479"/>
      <c r="O32" s="1479"/>
      <c r="P32" s="1479"/>
      <c r="Q32" s="1479"/>
      <c r="R32" s="1480"/>
      <c r="S32" s="1506"/>
      <c r="T32" s="1479"/>
      <c r="U32" s="1479"/>
      <c r="V32" s="1508"/>
      <c r="W32" s="1479"/>
      <c r="X32" s="1479"/>
      <c r="Y32" s="1506"/>
      <c r="Z32" s="1479"/>
      <c r="AA32" s="1479"/>
      <c r="AB32" s="1506"/>
      <c r="AC32" s="1479"/>
      <c r="AD32" s="1479"/>
      <c r="AE32" s="1506"/>
      <c r="AF32" s="1479"/>
      <c r="AG32" s="1479"/>
      <c r="AH32" s="1506"/>
      <c r="AI32" s="1479"/>
      <c r="AJ32" s="1479"/>
    </row>
    <row r="33" spans="2:36" s="147" customFormat="1" ht="18" customHeight="1" x14ac:dyDescent="0.25">
      <c r="B33" s="1502" t="s">
        <v>759</v>
      </c>
      <c r="C33" s="1505"/>
      <c r="D33" s="1553">
        <f t="shared" si="12"/>
        <v>200000000</v>
      </c>
      <c r="E33" s="1554">
        <f t="shared" ref="E33" si="16">((G33*H33)+(AB33*AC33)+(AE33*AF33)+(AH33*AI33))/D33</f>
        <v>3.5000000000000003E-2</v>
      </c>
      <c r="F33" s="1511"/>
      <c r="G33" s="1555">
        <f>J33+M33</f>
        <v>200000000</v>
      </c>
      <c r="H33" s="1556">
        <f>((J33*K33)+(M33*N33))/G33</f>
        <v>3.5000000000000003E-2</v>
      </c>
      <c r="I33" s="1553">
        <f t="shared" si="14"/>
        <v>18.170000000000002</v>
      </c>
      <c r="J33" s="1553">
        <v>0</v>
      </c>
      <c r="K33" s="1557">
        <v>0</v>
      </c>
      <c r="L33" s="1553">
        <v>0</v>
      </c>
      <c r="M33" s="1553">
        <f>P33+S33+V33+Y33</f>
        <v>200000000</v>
      </c>
      <c r="N33" s="1557">
        <f>((P33*Q33)+(S33*T33)+(V33*W33)+(Y33*Z33))/M33</f>
        <v>3.5000000000000003E-2</v>
      </c>
      <c r="O33" s="1553">
        <f t="shared" si="15"/>
        <v>18.170000000000002</v>
      </c>
      <c r="P33" s="1553">
        <f>Hoja10!F101</f>
        <v>71882137.159999996</v>
      </c>
      <c r="Q33" s="1557">
        <v>3.5000000000000003E-2</v>
      </c>
      <c r="R33" s="1558">
        <v>18.170000000000002</v>
      </c>
      <c r="S33" s="1553">
        <f>Hoja10!F227</f>
        <v>128117862.84</v>
      </c>
      <c r="T33" s="1557">
        <v>3.5000000000000003E-2</v>
      </c>
      <c r="U33" s="1553">
        <v>18.170000000000002</v>
      </c>
      <c r="V33" s="1559">
        <v>0</v>
      </c>
      <c r="W33" s="1557">
        <v>0</v>
      </c>
      <c r="X33" s="1553">
        <v>0</v>
      </c>
      <c r="Y33" s="1553">
        <v>0</v>
      </c>
      <c r="Z33" s="1557">
        <v>0</v>
      </c>
      <c r="AA33" s="1553">
        <v>0</v>
      </c>
      <c r="AB33" s="1553">
        <v>0</v>
      </c>
      <c r="AC33" s="1557">
        <v>0</v>
      </c>
      <c r="AD33" s="1553">
        <v>0</v>
      </c>
      <c r="AE33" s="1553">
        <v>0</v>
      </c>
      <c r="AF33" s="1557">
        <v>0</v>
      </c>
      <c r="AG33" s="1553">
        <v>0</v>
      </c>
      <c r="AH33" s="1553">
        <v>0</v>
      </c>
      <c r="AI33" s="1557">
        <v>0</v>
      </c>
      <c r="AJ33" s="1553">
        <v>0</v>
      </c>
    </row>
    <row r="34" spans="2:36" s="151" customFormat="1" ht="14.25" customHeight="1" x14ac:dyDescent="0.25">
      <c r="B34" s="1510"/>
      <c r="C34" s="1511"/>
      <c r="D34" s="1509"/>
      <c r="E34" s="1512"/>
      <c r="F34" s="1501"/>
      <c r="G34" s="1501"/>
      <c r="H34" s="1513"/>
      <c r="I34" s="1514"/>
      <c r="J34" s="1501"/>
      <c r="K34" s="1514"/>
      <c r="L34" s="1514"/>
      <c r="M34" s="1501"/>
      <c r="N34" s="1514"/>
      <c r="O34" s="1514"/>
      <c r="P34" s="1501"/>
      <c r="Q34" s="1514"/>
      <c r="R34" s="1514"/>
      <c r="S34" s="1501"/>
      <c r="T34" s="1513"/>
      <c r="U34" s="1513"/>
      <c r="V34" s="1515"/>
      <c r="W34" s="1514"/>
      <c r="X34" s="1514"/>
      <c r="Y34" s="1501"/>
      <c r="Z34" s="1514"/>
      <c r="AA34" s="1514"/>
      <c r="AB34" s="1501"/>
      <c r="AC34" s="1514"/>
      <c r="AD34" s="1514"/>
      <c r="AE34" s="1501"/>
      <c r="AF34" s="1514"/>
      <c r="AG34" s="1514"/>
      <c r="AH34" s="1501"/>
      <c r="AI34" s="1514"/>
      <c r="AJ34" s="1501"/>
    </row>
    <row r="35" spans="2:36" s="156" customFormat="1" ht="20.149999999999999" customHeight="1" x14ac:dyDescent="0.25">
      <c r="B35" s="1560" t="s">
        <v>71</v>
      </c>
      <c r="C35" s="1503"/>
      <c r="D35" s="1509"/>
      <c r="E35" s="1516"/>
      <c r="F35" s="1503"/>
      <c r="G35" s="1503"/>
      <c r="H35" s="1517"/>
      <c r="I35" s="1517"/>
      <c r="J35" s="1503"/>
      <c r="K35" s="1517"/>
      <c r="L35" s="1517"/>
      <c r="M35" s="1503"/>
      <c r="N35" s="1517"/>
      <c r="O35" s="1517"/>
      <c r="P35" s="1503"/>
      <c r="Q35" s="1517"/>
      <c r="R35" s="1517"/>
      <c r="S35" s="1503"/>
      <c r="T35" s="1517"/>
      <c r="U35" s="1517"/>
      <c r="V35" s="1518"/>
      <c r="W35" s="1517"/>
      <c r="X35" s="1517"/>
      <c r="Y35" s="1503"/>
      <c r="Z35" s="1517"/>
      <c r="AA35" s="1517"/>
      <c r="AB35" s="1503"/>
      <c r="AC35" s="1517"/>
      <c r="AD35" s="1517"/>
      <c r="AE35" s="1503"/>
      <c r="AF35" s="1517"/>
      <c r="AG35" s="1517"/>
      <c r="AH35" s="1503"/>
      <c r="AI35" s="1517"/>
      <c r="AJ35" s="1503"/>
    </row>
    <row r="36" spans="2:36" s="156" customFormat="1" ht="20.149999999999999" customHeight="1" x14ac:dyDescent="0.25">
      <c r="B36" s="1563" t="s">
        <v>755</v>
      </c>
      <c r="C36" s="1503"/>
      <c r="D36" s="1509"/>
      <c r="E36" s="1516"/>
      <c r="F36" s="1503"/>
      <c r="G36" s="1503"/>
      <c r="H36" s="1517"/>
      <c r="I36" s="1517"/>
      <c r="J36" s="1503"/>
      <c r="K36" s="1517"/>
      <c r="L36" s="1517"/>
      <c r="M36" s="1503"/>
      <c r="N36" s="1517"/>
      <c r="O36" s="1517"/>
      <c r="P36" s="1503"/>
      <c r="Q36" s="1517"/>
      <c r="R36" s="1517"/>
      <c r="S36" s="1503"/>
      <c r="T36" s="1517"/>
      <c r="U36" s="1517"/>
      <c r="V36" s="1518"/>
      <c r="W36" s="1517"/>
      <c r="X36" s="1517"/>
      <c r="Y36" s="1503"/>
      <c r="Z36" s="1517"/>
      <c r="AA36" s="1517"/>
      <c r="AB36" s="1503"/>
      <c r="AC36" s="1517"/>
      <c r="AD36" s="1517"/>
      <c r="AE36" s="1503"/>
      <c r="AF36" s="1517"/>
      <c r="AG36" s="1517"/>
      <c r="AH36" s="1503"/>
      <c r="AI36" s="1517"/>
      <c r="AJ36" s="1503"/>
    </row>
    <row r="37" spans="2:36" s="156" customFormat="1" ht="20.149999999999999" customHeight="1" x14ac:dyDescent="0.25">
      <c r="B37" s="1564" t="s">
        <v>765</v>
      </c>
      <c r="C37" s="1503"/>
      <c r="D37" s="1509"/>
      <c r="E37" s="1519"/>
      <c r="F37" s="1503"/>
      <c r="G37" s="1503"/>
      <c r="H37" s="1517"/>
      <c r="I37" s="1517"/>
      <c r="J37" s="1503"/>
      <c r="K37" s="1517"/>
      <c r="L37" s="1517"/>
      <c r="M37" s="1503"/>
      <c r="N37" s="1517"/>
      <c r="O37" s="1517"/>
      <c r="P37" s="1503"/>
      <c r="Q37" s="1517"/>
      <c r="R37" s="1517"/>
      <c r="S37" s="1503"/>
      <c r="T37" s="1517"/>
      <c r="U37" s="1517"/>
      <c r="V37" s="1518"/>
      <c r="W37" s="1517"/>
      <c r="X37" s="1517"/>
      <c r="Y37" s="1503"/>
      <c r="Z37" s="1517"/>
      <c r="AA37" s="1517"/>
      <c r="AB37" s="1503"/>
      <c r="AC37" s="1517"/>
      <c r="AD37" s="1517"/>
      <c r="AE37" s="1503"/>
      <c r="AF37" s="1517"/>
      <c r="AG37" s="1517"/>
      <c r="AH37" s="1503"/>
      <c r="AI37" s="1517"/>
      <c r="AJ37" s="1503"/>
    </row>
    <row r="38" spans="2:36" s="156" customFormat="1" ht="20.149999999999999" customHeight="1" x14ac:dyDescent="0.25">
      <c r="B38" s="1564" t="s">
        <v>81</v>
      </c>
      <c r="C38" s="1503"/>
      <c r="D38" s="1509"/>
      <c r="E38" s="1519"/>
      <c r="F38" s="1503"/>
      <c r="G38" s="1503"/>
      <c r="H38" s="1517"/>
      <c r="I38" s="1517"/>
      <c r="J38" s="1503"/>
      <c r="K38" s="1517"/>
      <c r="L38" s="1517"/>
      <c r="M38" s="1503"/>
      <c r="N38" s="1517"/>
      <c r="O38" s="1517"/>
      <c r="P38" s="1503"/>
      <c r="Q38" s="1517"/>
      <c r="R38" s="1517"/>
      <c r="S38" s="1503"/>
      <c r="T38" s="1517"/>
      <c r="U38" s="1517"/>
      <c r="V38" s="1518"/>
      <c r="W38" s="1517"/>
      <c r="X38" s="1517"/>
      <c r="Y38" s="1503"/>
      <c r="Z38" s="1517"/>
      <c r="AA38" s="1517"/>
      <c r="AB38" s="1503"/>
      <c r="AC38" s="1517"/>
      <c r="AD38" s="1517"/>
      <c r="AE38" s="1503"/>
      <c r="AF38" s="1517"/>
      <c r="AG38" s="1517"/>
      <c r="AH38" s="1503"/>
      <c r="AI38" s="1517"/>
      <c r="AJ38" s="1503"/>
    </row>
    <row r="39" spans="2:36" s="156" customFormat="1" ht="20.149999999999999" customHeight="1" x14ac:dyDescent="0.25">
      <c r="B39" s="1563" t="s">
        <v>763</v>
      </c>
      <c r="C39" s="1503"/>
      <c r="D39" s="1509"/>
      <c r="E39" s="1519"/>
      <c r="F39" s="1503"/>
      <c r="G39" s="1503"/>
      <c r="H39" s="1517"/>
      <c r="I39" s="1517"/>
      <c r="J39" s="1503"/>
      <c r="K39" s="1517"/>
      <c r="L39" s="1517"/>
      <c r="M39" s="1503"/>
      <c r="N39" s="1517"/>
      <c r="O39" s="1517"/>
      <c r="P39" s="1503"/>
      <c r="Q39" s="1517"/>
      <c r="R39" s="1517"/>
      <c r="S39" s="1503"/>
      <c r="T39" s="1517"/>
      <c r="U39" s="1517"/>
      <c r="V39" s="1518"/>
      <c r="W39" s="1517"/>
      <c r="X39" s="1517"/>
      <c r="Y39" s="1503"/>
      <c r="Z39" s="1517"/>
      <c r="AA39" s="1517"/>
      <c r="AB39" s="1503"/>
      <c r="AC39" s="1517"/>
      <c r="AD39" s="1517"/>
      <c r="AE39" s="1503"/>
      <c r="AF39" s="1517"/>
      <c r="AG39" s="1517"/>
      <c r="AH39" s="1503"/>
      <c r="AI39" s="1517"/>
      <c r="AJ39" s="1503"/>
    </row>
    <row r="40" spans="2:36" s="156" customFormat="1" ht="20.149999999999999" customHeight="1" x14ac:dyDescent="0.25">
      <c r="B40" s="1563" t="s">
        <v>764</v>
      </c>
      <c r="C40" s="1503"/>
      <c r="D40" s="1509"/>
      <c r="E40" s="1519"/>
      <c r="F40" s="1503"/>
      <c r="G40" s="1503"/>
      <c r="H40" s="1517"/>
      <c r="I40" s="1517"/>
      <c r="J40" s="1503"/>
      <c r="K40" s="1517"/>
      <c r="L40" s="1517"/>
      <c r="M40" s="1503"/>
      <c r="N40" s="1517"/>
      <c r="O40" s="1517"/>
      <c r="P40" s="1503"/>
      <c r="Q40" s="1517"/>
      <c r="R40" s="1517"/>
      <c r="S40" s="1503"/>
      <c r="T40" s="1517"/>
      <c r="U40" s="1517"/>
      <c r="V40" s="1518"/>
      <c r="W40" s="1517"/>
      <c r="X40" s="1517"/>
      <c r="Y40" s="1503"/>
      <c r="Z40" s="1517"/>
      <c r="AA40" s="1517"/>
      <c r="AB40" s="1503"/>
      <c r="AC40" s="1517"/>
      <c r="AD40" s="1517"/>
      <c r="AE40" s="1503"/>
      <c r="AF40" s="1517"/>
      <c r="AG40" s="1517"/>
      <c r="AH40" s="1503"/>
      <c r="AI40" s="1517"/>
      <c r="AJ40" s="1503"/>
    </row>
    <row r="41" spans="2:36" s="156" customFormat="1" ht="20.149999999999999" customHeight="1" x14ac:dyDescent="0.25">
      <c r="B41" s="1563" t="s">
        <v>761</v>
      </c>
      <c r="C41" s="1503"/>
      <c r="D41" s="1509"/>
      <c r="E41" s="1519"/>
      <c r="F41" s="1503"/>
      <c r="G41" s="1503"/>
      <c r="H41" s="1517"/>
      <c r="I41" s="1517"/>
      <c r="J41" s="1503"/>
      <c r="K41" s="1517"/>
      <c r="L41" s="1517"/>
      <c r="M41" s="1503"/>
      <c r="N41" s="1517"/>
      <c r="O41" s="1517"/>
      <c r="P41" s="1503"/>
      <c r="Q41" s="1517"/>
      <c r="R41" s="1517"/>
      <c r="S41" s="1503"/>
      <c r="T41" s="1517"/>
      <c r="U41" s="1517"/>
      <c r="V41" s="1518"/>
      <c r="W41" s="1517"/>
      <c r="X41" s="1517"/>
      <c r="Y41" s="1503"/>
      <c r="Z41" s="1517"/>
      <c r="AA41" s="1517"/>
      <c r="AB41" s="1503"/>
      <c r="AC41" s="1517"/>
      <c r="AD41" s="1517"/>
      <c r="AE41" s="1503"/>
      <c r="AF41" s="1517"/>
      <c r="AG41" s="1517"/>
      <c r="AH41" s="1503"/>
      <c r="AI41" s="1517"/>
      <c r="AJ41" s="1503"/>
    </row>
    <row r="42" spans="2:36" s="156" customFormat="1" ht="10.5" customHeight="1" x14ac:dyDescent="0.25">
      <c r="B42" s="1560"/>
      <c r="C42" s="1503"/>
      <c r="D42" s="1509"/>
      <c r="E42" s="1519"/>
      <c r="F42" s="1503"/>
      <c r="G42" s="1503"/>
      <c r="H42" s="1517"/>
      <c r="I42" s="1517"/>
      <c r="J42" s="1503"/>
      <c r="K42" s="1517"/>
      <c r="L42" s="1517"/>
      <c r="M42" s="1503"/>
      <c r="N42" s="1517"/>
      <c r="O42" s="1517"/>
      <c r="P42" s="1503"/>
      <c r="Q42" s="1517"/>
      <c r="R42" s="1517"/>
      <c r="S42" s="1503"/>
      <c r="T42" s="1517"/>
      <c r="U42" s="1517"/>
      <c r="V42" s="1518"/>
      <c r="W42" s="1517"/>
      <c r="X42" s="1517"/>
      <c r="Y42" s="1503"/>
      <c r="Z42" s="1517"/>
      <c r="AA42" s="1517"/>
      <c r="AB42" s="1503"/>
      <c r="AC42" s="1517"/>
      <c r="AD42" s="1517"/>
      <c r="AE42" s="1503"/>
      <c r="AF42" s="1517"/>
      <c r="AG42" s="1517"/>
      <c r="AH42" s="1503"/>
      <c r="AI42" s="1517"/>
      <c r="AJ42" s="1503"/>
    </row>
    <row r="43" spans="2:36" s="156" customFormat="1" ht="20.149999999999999" customHeight="1" x14ac:dyDescent="0.25">
      <c r="B43" s="1560" t="s">
        <v>770</v>
      </c>
      <c r="C43" s="1503"/>
      <c r="D43" s="1509"/>
      <c r="E43" s="1519"/>
      <c r="F43" s="1503"/>
      <c r="G43" s="1503"/>
      <c r="H43" s="1517"/>
      <c r="I43" s="1517"/>
      <c r="J43" s="1503"/>
      <c r="K43" s="1517"/>
      <c r="L43" s="1517"/>
      <c r="M43" s="1503"/>
      <c r="N43" s="1517"/>
      <c r="O43" s="1517"/>
      <c r="P43" s="1503"/>
      <c r="Q43" s="1517"/>
      <c r="R43" s="1517"/>
      <c r="S43" s="1503"/>
      <c r="T43" s="1517"/>
      <c r="U43" s="1517"/>
      <c r="V43" s="1518"/>
      <c r="W43" s="1517"/>
      <c r="X43" s="1517"/>
      <c r="Y43" s="1503"/>
      <c r="Z43" s="1517"/>
      <c r="AA43" s="1517"/>
      <c r="AB43" s="1503"/>
      <c r="AC43" s="1517"/>
      <c r="AD43" s="1517"/>
      <c r="AE43" s="1503"/>
      <c r="AF43" s="1517"/>
      <c r="AG43" s="1517"/>
      <c r="AH43" s="1503"/>
      <c r="AI43" s="1517"/>
      <c r="AJ43" s="1503"/>
    </row>
    <row r="44" spans="2:36" s="156" customFormat="1" ht="20.149999999999999" customHeight="1" x14ac:dyDescent="0.25">
      <c r="B44" s="1561" t="s">
        <v>78</v>
      </c>
      <c r="C44" s="1503"/>
      <c r="D44" s="1509"/>
      <c r="E44" s="1519"/>
      <c r="F44" s="1503"/>
      <c r="G44" s="1503"/>
      <c r="H44" s="1517"/>
      <c r="I44" s="1517"/>
      <c r="J44" s="1503"/>
      <c r="K44" s="1517"/>
      <c r="L44" s="1517"/>
      <c r="M44" s="1503"/>
      <c r="N44" s="1517"/>
      <c r="O44" s="1517"/>
      <c r="P44" s="1503"/>
      <c r="Q44" s="1517"/>
      <c r="R44" s="1517"/>
      <c r="S44" s="1503"/>
      <c r="T44" s="1517"/>
      <c r="U44" s="1517"/>
      <c r="V44" s="1518"/>
      <c r="W44" s="1517"/>
      <c r="X44" s="1517"/>
      <c r="Y44" s="1503"/>
      <c r="Z44" s="1517"/>
      <c r="AA44" s="1517"/>
      <c r="AB44" s="1503"/>
      <c r="AC44" s="1517"/>
      <c r="AD44" s="1517"/>
      <c r="AE44" s="1503"/>
      <c r="AF44" s="1517"/>
      <c r="AG44" s="1517"/>
      <c r="AH44" s="1503"/>
      <c r="AI44" s="1517"/>
      <c r="AJ44" s="1503"/>
    </row>
    <row r="45" spans="2:36" s="156" customFormat="1" ht="20.149999999999999" customHeight="1" x14ac:dyDescent="0.25">
      <c r="B45" s="1561" t="s">
        <v>79</v>
      </c>
      <c r="C45" s="1503"/>
      <c r="D45" s="1509"/>
      <c r="E45" s="1519"/>
      <c r="F45" s="1503"/>
      <c r="G45" s="1503"/>
      <c r="H45" s="1517"/>
      <c r="I45" s="1503"/>
      <c r="J45" s="1503"/>
      <c r="K45" s="1503"/>
      <c r="L45" s="1503"/>
      <c r="M45" s="1503"/>
      <c r="N45" s="1517"/>
      <c r="O45" s="1517"/>
      <c r="P45" s="1503"/>
      <c r="Q45" s="1517"/>
      <c r="R45" s="1517"/>
      <c r="S45" s="1503"/>
      <c r="T45" s="1517"/>
      <c r="U45" s="1517"/>
      <c r="V45" s="1518"/>
      <c r="W45" s="1517"/>
      <c r="X45" s="1517"/>
      <c r="Y45" s="1503"/>
      <c r="Z45" s="1517"/>
      <c r="AA45" s="1517"/>
      <c r="AB45" s="1503"/>
      <c r="AC45" s="1517"/>
      <c r="AD45" s="1517"/>
      <c r="AE45" s="1503"/>
      <c r="AF45" s="1517"/>
      <c r="AG45" s="1517"/>
      <c r="AH45" s="1503"/>
      <c r="AI45" s="1517"/>
      <c r="AJ45" s="1503"/>
    </row>
    <row r="46" spans="2:36" s="156" customFormat="1" ht="8.25" customHeight="1" x14ac:dyDescent="0.25">
      <c r="B46" s="1561"/>
      <c r="C46" s="1503"/>
      <c r="D46" s="1509"/>
      <c r="E46" s="1519"/>
      <c r="F46" s="1503"/>
      <c r="G46" s="1503"/>
      <c r="H46" s="1517"/>
      <c r="I46" s="1503"/>
      <c r="J46" s="1503"/>
      <c r="K46" s="1503"/>
      <c r="L46" s="1503"/>
      <c r="M46" s="1503"/>
      <c r="N46" s="1517"/>
      <c r="O46" s="1517"/>
      <c r="P46" s="1503"/>
      <c r="Q46" s="1517"/>
      <c r="R46" s="1517"/>
      <c r="S46" s="1501"/>
      <c r="T46" s="1514"/>
      <c r="U46" s="1514"/>
      <c r="V46" s="1515"/>
      <c r="W46" s="1514"/>
      <c r="X46" s="1514"/>
      <c r="Y46" s="1501"/>
      <c r="Z46" s="1514"/>
      <c r="AA46" s="1514"/>
      <c r="AB46" s="1501"/>
      <c r="AC46" s="1517"/>
      <c r="AD46" s="1517"/>
      <c r="AE46" s="1503"/>
      <c r="AF46" s="1517"/>
      <c r="AG46" s="1517"/>
      <c r="AH46" s="1503"/>
      <c r="AI46" s="1517"/>
      <c r="AJ46" s="1503"/>
    </row>
    <row r="47" spans="2:36" s="156" customFormat="1" ht="20.149999999999999" customHeight="1" x14ac:dyDescent="0.25">
      <c r="B47" s="1561" t="s">
        <v>768</v>
      </c>
      <c r="C47" s="1503"/>
      <c r="D47" s="1509"/>
      <c r="E47" s="1519"/>
      <c r="F47" s="1503"/>
      <c r="G47" s="1503"/>
      <c r="H47" s="1517"/>
      <c r="I47" s="1517"/>
      <c r="J47" s="1503"/>
      <c r="K47" s="1517"/>
      <c r="L47" s="1517"/>
      <c r="M47" s="1503"/>
      <c r="N47" s="1517"/>
      <c r="O47" s="1517"/>
      <c r="P47" s="1503"/>
      <c r="Q47" s="1517"/>
      <c r="R47" s="1517"/>
      <c r="S47" s="1503"/>
      <c r="T47" s="1517"/>
      <c r="U47" s="1517"/>
      <c r="V47" s="1518"/>
      <c r="W47" s="1517"/>
      <c r="X47" s="1517"/>
      <c r="Y47" s="1503"/>
      <c r="Z47" s="1517"/>
      <c r="AA47" s="1517"/>
      <c r="AB47" s="1503"/>
      <c r="AC47" s="1517"/>
      <c r="AD47" s="1517"/>
      <c r="AE47" s="1503"/>
      <c r="AF47" s="1517"/>
      <c r="AG47" s="1517"/>
      <c r="AH47" s="1503"/>
      <c r="AI47" s="1517"/>
      <c r="AJ47" s="1503"/>
    </row>
    <row r="48" spans="2:36" s="158" customFormat="1" ht="17.25" customHeight="1" x14ac:dyDescent="0.25">
      <c r="B48" s="1562" t="s">
        <v>769</v>
      </c>
      <c r="C48" s="1481"/>
      <c r="D48" s="1478"/>
      <c r="E48" s="1482"/>
      <c r="F48" s="1481"/>
      <c r="G48" s="1481"/>
      <c r="H48" s="1483"/>
      <c r="I48" s="1483"/>
      <c r="J48" s="1481"/>
      <c r="K48" s="1483"/>
      <c r="L48" s="1483"/>
      <c r="M48" s="1481"/>
      <c r="N48" s="1483"/>
      <c r="O48" s="1483"/>
      <c r="P48" s="1481"/>
      <c r="Q48" s="1483"/>
      <c r="R48" s="1483"/>
      <c r="S48" s="1481"/>
      <c r="T48" s="1483"/>
      <c r="U48" s="1483"/>
      <c r="V48" s="1484"/>
      <c r="W48" s="1483"/>
      <c r="X48" s="1483"/>
      <c r="Y48" s="1481"/>
      <c r="Z48" s="1483"/>
      <c r="AA48" s="1483"/>
      <c r="AB48" s="1481"/>
      <c r="AC48" s="1483"/>
      <c r="AD48" s="1483"/>
      <c r="AE48" s="1481"/>
      <c r="AF48" s="1483"/>
      <c r="AG48" s="1483"/>
      <c r="AH48" s="1481"/>
      <c r="AI48" s="1483"/>
      <c r="AJ48" s="1481"/>
    </row>
    <row r="49" spans="4:35" s="161" customFormat="1" ht="20.149999999999999" customHeight="1" x14ac:dyDescent="0.25">
      <c r="D49" s="6"/>
      <c r="E49" s="191"/>
      <c r="H49" s="186"/>
      <c r="I49" s="186"/>
      <c r="K49" s="186"/>
      <c r="L49" s="186"/>
      <c r="N49" s="186"/>
      <c r="O49" s="186"/>
      <c r="Q49" s="186"/>
      <c r="R49" s="186"/>
      <c r="T49" s="186"/>
      <c r="U49" s="186"/>
      <c r="V49" s="1466"/>
      <c r="W49" s="186"/>
      <c r="X49" s="186"/>
      <c r="Z49" s="186"/>
      <c r="AA49" s="186"/>
      <c r="AC49" s="186"/>
      <c r="AD49" s="186"/>
      <c r="AF49" s="186"/>
      <c r="AG49" s="186"/>
      <c r="AI49" s="186"/>
    </row>
    <row r="50" spans="4:35" s="161" customFormat="1" ht="20.149999999999999" customHeight="1" x14ac:dyDescent="0.25">
      <c r="D50" s="6"/>
      <c r="E50" s="191"/>
      <c r="H50" s="186"/>
      <c r="N50" s="186"/>
      <c r="O50" s="186"/>
      <c r="Q50" s="186"/>
      <c r="R50" s="186"/>
      <c r="T50" s="186"/>
      <c r="U50" s="186"/>
      <c r="V50" s="1466"/>
      <c r="W50" s="186"/>
      <c r="X50" s="186"/>
      <c r="Z50" s="186"/>
      <c r="AA50" s="186"/>
      <c r="AC50" s="186"/>
      <c r="AD50" s="186"/>
      <c r="AF50" s="186"/>
      <c r="AG50" s="186"/>
      <c r="AI50" s="186"/>
    </row>
  </sheetData>
  <sheetProtection selectLockedCells="1" selectUnlockedCells="1"/>
  <mergeCells count="18">
    <mergeCell ref="B6:AJ6"/>
    <mergeCell ref="B5:AJ5"/>
    <mergeCell ref="B4:AJ4"/>
    <mergeCell ref="B3:AJ3"/>
    <mergeCell ref="B2:AJ2"/>
    <mergeCell ref="AH7:AJ7"/>
    <mergeCell ref="AE7:AG7"/>
    <mergeCell ref="P7:R7"/>
    <mergeCell ref="S7:U7"/>
    <mergeCell ref="V7:X7"/>
    <mergeCell ref="Y7:AA7"/>
    <mergeCell ref="AB7:AD7"/>
    <mergeCell ref="M7:O7"/>
    <mergeCell ref="B7:B8"/>
    <mergeCell ref="D7:D8"/>
    <mergeCell ref="E7:E8"/>
    <mergeCell ref="G7:I7"/>
    <mergeCell ref="J7:L7"/>
  </mergeCells>
  <printOptions horizontalCentered="1"/>
  <pageMargins left="0" right="0" top="0.98425196850393704" bottom="0.59055118110236227" header="0" footer="0"/>
  <pageSetup paperSize="5" scale="45" firstPageNumber="0" orientation="landscape" r:id="rId1"/>
  <headerFooter alignWithMargins="0"/>
  <ignoredErrors>
    <ignoredError sqref="J32:K33 P25:Q25 J15:J16 AH25 AH32:AH33 H10:H16 S23:T23 S32:T32 AF26 AC16 Q26 P15 AH12:AI12 M12:M14 N26 H26 Y16:Z16 AH10:AH11 AH23 AH15 AB10 AE10 J11:K12 J23:K23 J25:K25 N12 M15:N16 N32 M23:N23 M25:N25 M10:N11 J10 P16:Q16 P32:Q32 P23:Q23 P10:Q12 S15:T16 S10:T12 V10:W10 V16:W16 V12:W12 Y10:Z10 Y12:Z12 AB15:AC15 AB32:AC33 AB23:AC25 AB11:AC12 AE15:AF15 AE23:AF23 AE11:AF12 AE32:AF33 AE25:AF25" formula="1"/>
    <ignoredError sqref="S22" formulaRange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"/>
  <sheetViews>
    <sheetView workbookViewId="0"/>
  </sheetViews>
  <sheetFormatPr baseColWidth="10" defaultRowHeight="12.5" x14ac:dyDescent="0.2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V41"/>
  <sheetViews>
    <sheetView workbookViewId="0">
      <selection activeCell="H36" sqref="H36"/>
    </sheetView>
  </sheetViews>
  <sheetFormatPr baseColWidth="10" defaultColWidth="18" defaultRowHeight="15.5" x14ac:dyDescent="0.35"/>
  <cols>
    <col min="1" max="1" width="5.453125" style="355" customWidth="1"/>
    <col min="2" max="2" width="30.54296875" style="456" customWidth="1"/>
    <col min="3" max="5" width="20.453125" style="456" customWidth="1"/>
    <col min="6" max="6" width="20.54296875" style="456" customWidth="1"/>
    <col min="7" max="7" width="20.54296875" style="457" customWidth="1"/>
    <col min="8" max="9" width="20.54296875" style="458" customWidth="1"/>
    <col min="10" max="10" width="20.54296875" style="457" customWidth="1"/>
    <col min="11" max="11" width="29" style="358" customWidth="1"/>
    <col min="12" max="12" width="34.81640625" style="358" customWidth="1"/>
    <col min="13" max="13" width="24.54296875" style="358" customWidth="1"/>
    <col min="14" max="17" width="18" style="355"/>
    <col min="18" max="22" width="18" style="359"/>
    <col min="23" max="16384" width="18" style="355"/>
  </cols>
  <sheetData>
    <row r="1" spans="1:22" s="331" customFormat="1" x14ac:dyDescent="0.25">
      <c r="B1" s="332"/>
      <c r="C1" s="333"/>
      <c r="D1" s="333"/>
      <c r="E1" s="333"/>
      <c r="F1" s="333"/>
      <c r="G1" s="334" t="s">
        <v>360</v>
      </c>
      <c r="H1" s="335"/>
      <c r="I1" s="335"/>
      <c r="J1" s="336"/>
      <c r="K1" s="337"/>
      <c r="L1" s="337"/>
      <c r="M1" s="338"/>
      <c r="N1" s="1654"/>
      <c r="O1" s="1654"/>
      <c r="P1" s="1654"/>
      <c r="Q1" s="1654"/>
      <c r="R1" s="1654"/>
      <c r="S1" s="340"/>
      <c r="T1" s="340"/>
      <c r="U1" s="340"/>
      <c r="V1" s="340"/>
    </row>
    <row r="2" spans="1:22" s="341" customFormat="1" x14ac:dyDescent="0.25">
      <c r="B2" s="1655" t="s">
        <v>0</v>
      </c>
      <c r="C2" s="1656"/>
      <c r="D2" s="1656"/>
      <c r="E2" s="1656"/>
      <c r="F2" s="1656"/>
      <c r="G2" s="1657"/>
      <c r="H2" s="343"/>
      <c r="I2" s="343"/>
      <c r="J2" s="344"/>
      <c r="K2" s="345"/>
      <c r="L2" s="345"/>
      <c r="M2" s="1658"/>
      <c r="N2" s="1658"/>
      <c r="O2" s="1658"/>
      <c r="P2" s="1658"/>
      <c r="Q2" s="1658"/>
      <c r="R2" s="1658"/>
      <c r="S2" s="346"/>
      <c r="T2" s="346"/>
      <c r="U2" s="346"/>
      <c r="V2" s="346"/>
    </row>
    <row r="3" spans="1:22" s="352" customFormat="1" x14ac:dyDescent="0.25">
      <c r="A3" s="347"/>
      <c r="B3" s="1659" t="s">
        <v>361</v>
      </c>
      <c r="C3" s="1660"/>
      <c r="D3" s="1660"/>
      <c r="E3" s="1660"/>
      <c r="F3" s="1660"/>
      <c r="G3" s="1661"/>
      <c r="H3" s="348"/>
      <c r="I3" s="348"/>
      <c r="J3" s="349"/>
      <c r="K3" s="350"/>
      <c r="L3" s="350"/>
      <c r="M3" s="1662"/>
      <c r="N3" s="351"/>
      <c r="O3" s="351"/>
      <c r="P3" s="351"/>
      <c r="Q3" s="351"/>
      <c r="R3" s="351"/>
      <c r="S3" s="346"/>
      <c r="T3" s="346"/>
      <c r="U3" s="346"/>
      <c r="V3" s="347"/>
    </row>
    <row r="4" spans="1:22" s="341" customFormat="1" x14ac:dyDescent="0.25">
      <c r="B4" s="1663" t="str">
        <f>'[10]VENC. '!$B$4</f>
        <v xml:space="preserve"> AL 30 DE SEPTIEMBRE  2022</v>
      </c>
      <c r="C4" s="1664"/>
      <c r="D4" s="1664"/>
      <c r="E4" s="1664"/>
      <c r="F4" s="1664"/>
      <c r="G4" s="1665"/>
      <c r="H4" s="343"/>
      <c r="I4" s="343"/>
      <c r="J4" s="344"/>
      <c r="K4" s="350"/>
      <c r="L4" s="350"/>
      <c r="M4" s="1662"/>
      <c r="N4" s="353"/>
      <c r="O4" s="353"/>
      <c r="P4" s="345"/>
      <c r="Q4" s="345"/>
      <c r="R4" s="354"/>
      <c r="S4" s="346"/>
      <c r="T4" s="346"/>
      <c r="U4" s="346"/>
      <c r="V4" s="346"/>
    </row>
    <row r="5" spans="1:22" x14ac:dyDescent="0.35">
      <c r="B5" s="1649" t="s">
        <v>362</v>
      </c>
      <c r="C5" s="1651" t="s">
        <v>363</v>
      </c>
      <c r="D5" s="1652"/>
      <c r="E5" s="1649" t="s">
        <v>364</v>
      </c>
      <c r="F5" s="1649" t="s">
        <v>365</v>
      </c>
      <c r="G5" s="1649" t="s">
        <v>366</v>
      </c>
      <c r="H5" s="356"/>
      <c r="I5" s="356"/>
      <c r="J5" s="357"/>
      <c r="K5" s="1653" t="s">
        <v>367</v>
      </c>
      <c r="M5" s="1640"/>
      <c r="N5" s="1640"/>
      <c r="O5" s="1640"/>
      <c r="P5" s="1640"/>
      <c r="Q5" s="1640"/>
      <c r="R5" s="1640"/>
    </row>
    <row r="6" spans="1:22" x14ac:dyDescent="0.35">
      <c r="B6" s="1649"/>
      <c r="C6" s="1651"/>
      <c r="D6" s="1652"/>
      <c r="E6" s="1649"/>
      <c r="F6" s="1649"/>
      <c r="G6" s="1649"/>
      <c r="H6" s="356"/>
      <c r="I6" s="356"/>
      <c r="J6" s="357"/>
      <c r="K6" s="1649"/>
      <c r="M6" s="1640"/>
      <c r="N6" s="1640"/>
      <c r="O6" s="1640"/>
      <c r="P6" s="1640"/>
      <c r="Q6" s="1640"/>
      <c r="R6" s="1640"/>
    </row>
    <row r="7" spans="1:22" x14ac:dyDescent="0.35">
      <c r="B7" s="1650"/>
      <c r="C7" s="360" t="s">
        <v>368</v>
      </c>
      <c r="D7" s="361" t="s">
        <v>369</v>
      </c>
      <c r="E7" s="1650"/>
      <c r="F7" s="362" t="s">
        <v>370</v>
      </c>
      <c r="G7" s="1650"/>
      <c r="H7" s="363"/>
      <c r="I7" s="363"/>
      <c r="J7" s="364"/>
      <c r="K7" s="1650"/>
      <c r="L7" s="353"/>
      <c r="M7" s="354"/>
      <c r="N7" s="338"/>
      <c r="O7" s="338"/>
      <c r="P7" s="338"/>
      <c r="Q7" s="338"/>
      <c r="R7" s="338"/>
      <c r="S7" s="340"/>
    </row>
    <row r="8" spans="1:22" s="365" customFormat="1" x14ac:dyDescent="0.25">
      <c r="B8" s="1641" t="s">
        <v>371</v>
      </c>
      <c r="C8" s="1642"/>
      <c r="D8" s="1642"/>
      <c r="E8" s="1642"/>
      <c r="F8" s="366">
        <f>F9+F27</f>
        <v>79710558</v>
      </c>
      <c r="G8" s="367"/>
      <c r="H8" s="368"/>
      <c r="I8" s="368"/>
      <c r="J8" s="369"/>
      <c r="R8" s="353"/>
      <c r="S8" s="353"/>
      <c r="T8" s="353"/>
      <c r="U8" s="353"/>
      <c r="V8" s="353"/>
    </row>
    <row r="9" spans="1:22" s="370" customFormat="1" x14ac:dyDescent="0.25">
      <c r="B9" s="371" t="s">
        <v>372</v>
      </c>
      <c r="C9" s="372"/>
      <c r="D9" s="372"/>
      <c r="E9" s="372"/>
      <c r="F9" s="373">
        <f>SUM(F10:F24)</f>
        <v>75574373.049999997</v>
      </c>
      <c r="G9" s="367"/>
      <c r="H9" s="368"/>
      <c r="I9" s="368"/>
      <c r="J9" s="369"/>
      <c r="K9" s="353"/>
      <c r="L9" s="353"/>
      <c r="M9" s="365"/>
      <c r="N9" s="374"/>
      <c r="R9" s="374"/>
      <c r="S9" s="374"/>
      <c r="T9" s="374"/>
      <c r="U9" s="374"/>
      <c r="V9" s="374"/>
    </row>
    <row r="10" spans="1:22" s="375" customFormat="1" x14ac:dyDescent="0.25">
      <c r="B10" s="730">
        <v>150000125985</v>
      </c>
      <c r="C10" s="615">
        <v>44817</v>
      </c>
      <c r="D10" s="615">
        <v>44844</v>
      </c>
      <c r="E10" s="726" t="s">
        <v>554</v>
      </c>
      <c r="F10" s="560"/>
      <c r="G10" s="561">
        <v>1.75</v>
      </c>
      <c r="H10" s="804"/>
      <c r="I10" s="804"/>
      <c r="J10" s="561"/>
      <c r="K10" s="805" t="s">
        <v>375</v>
      </c>
      <c r="L10" s="1694" t="s">
        <v>555</v>
      </c>
      <c r="M10" s="1695"/>
      <c r="R10" s="385"/>
      <c r="S10" s="385"/>
      <c r="T10" s="385"/>
      <c r="U10" s="385"/>
      <c r="V10" s="385"/>
    </row>
    <row r="11" spans="1:22" s="375" customFormat="1" x14ac:dyDescent="0.25">
      <c r="B11" s="730">
        <v>110000082863</v>
      </c>
      <c r="C11" s="615">
        <v>44819</v>
      </c>
      <c r="D11" s="615">
        <v>44909</v>
      </c>
      <c r="E11" s="726" t="s">
        <v>556</v>
      </c>
      <c r="F11" s="560"/>
      <c r="G11" s="561">
        <v>2.25</v>
      </c>
      <c r="H11" s="804"/>
      <c r="I11" s="804"/>
      <c r="J11" s="561"/>
      <c r="K11" s="805" t="s">
        <v>375</v>
      </c>
      <c r="L11" s="1694" t="s">
        <v>555</v>
      </c>
      <c r="M11" s="1695"/>
      <c r="R11" s="385"/>
      <c r="S11" s="385"/>
      <c r="T11" s="385"/>
      <c r="U11" s="385"/>
      <c r="V11" s="385"/>
    </row>
    <row r="12" spans="1:22" s="375" customFormat="1" x14ac:dyDescent="0.25">
      <c r="B12" s="730">
        <v>110000083243</v>
      </c>
      <c r="C12" s="615">
        <v>44834</v>
      </c>
      <c r="D12" s="615">
        <v>44924</v>
      </c>
      <c r="E12" s="726" t="s">
        <v>556</v>
      </c>
      <c r="F12" s="560"/>
      <c r="G12" s="561">
        <v>2.25</v>
      </c>
      <c r="H12" s="804"/>
      <c r="I12" s="804"/>
      <c r="J12" s="561"/>
      <c r="K12" s="805" t="s">
        <v>375</v>
      </c>
      <c r="L12" s="1694" t="s">
        <v>555</v>
      </c>
      <c r="M12" s="1695"/>
      <c r="R12" s="385"/>
      <c r="S12" s="385"/>
      <c r="T12" s="385"/>
      <c r="U12" s="385"/>
      <c r="V12" s="385"/>
    </row>
    <row r="13" spans="1:22" s="520" customFormat="1" x14ac:dyDescent="0.25">
      <c r="B13" s="806">
        <v>110000082685</v>
      </c>
      <c r="C13" s="645">
        <v>44798</v>
      </c>
      <c r="D13" s="645">
        <v>44878</v>
      </c>
      <c r="E13" s="647" t="s">
        <v>556</v>
      </c>
      <c r="F13" s="807">
        <v>4136184.95</v>
      </c>
      <c r="G13" s="808">
        <v>2.25</v>
      </c>
      <c r="H13" s="809">
        <f>F13*G13/100</f>
        <v>93064.16</v>
      </c>
      <c r="I13" s="809"/>
      <c r="J13" s="808"/>
      <c r="K13" s="398" t="s">
        <v>375</v>
      </c>
      <c r="L13" s="810"/>
      <c r="R13" s="524"/>
      <c r="S13" s="524"/>
      <c r="T13" s="524"/>
      <c r="U13" s="524"/>
      <c r="V13" s="524"/>
    </row>
    <row r="14" spans="1:22" s="392" customFormat="1" x14ac:dyDescent="0.25">
      <c r="A14" s="386"/>
      <c r="B14" s="396">
        <v>110000082246</v>
      </c>
      <c r="C14" s="394">
        <v>44760</v>
      </c>
      <c r="D14" s="395">
        <v>44851</v>
      </c>
      <c r="E14" s="397" t="s">
        <v>557</v>
      </c>
      <c r="F14" s="379">
        <v>182000</v>
      </c>
      <c r="G14" s="380">
        <v>0.75</v>
      </c>
      <c r="H14" s="809">
        <f t="shared" ref="H14:H23" si="0">F14*G14/100</f>
        <v>1365</v>
      </c>
      <c r="I14" s="381"/>
      <c r="J14" s="380"/>
      <c r="K14" s="398" t="s">
        <v>375</v>
      </c>
      <c r="L14" s="391"/>
      <c r="R14" s="393"/>
      <c r="S14" s="393"/>
      <c r="T14" s="393"/>
      <c r="U14" s="393"/>
      <c r="V14" s="393"/>
    </row>
    <row r="15" spans="1:22" x14ac:dyDescent="0.35">
      <c r="A15" s="370"/>
      <c r="B15" s="399">
        <v>110000060033</v>
      </c>
      <c r="C15" s="400">
        <v>43192</v>
      </c>
      <c r="D15" s="401">
        <v>45019</v>
      </c>
      <c r="E15" s="402" t="s">
        <v>376</v>
      </c>
      <c r="F15" s="403">
        <v>7000000</v>
      </c>
      <c r="G15" s="404">
        <v>2.88</v>
      </c>
      <c r="H15" s="809">
        <f t="shared" si="0"/>
        <v>201600</v>
      </c>
      <c r="I15" s="497"/>
      <c r="J15" s="404"/>
      <c r="K15" s="383" t="s">
        <v>375</v>
      </c>
      <c r="L15" s="405">
        <v>957</v>
      </c>
    </row>
    <row r="16" spans="1:22" s="365" customFormat="1" x14ac:dyDescent="0.25">
      <c r="B16" s="399">
        <v>110000060490</v>
      </c>
      <c r="C16" s="406" t="s">
        <v>377</v>
      </c>
      <c r="D16" s="407" t="s">
        <v>378</v>
      </c>
      <c r="E16" s="408" t="s">
        <v>376</v>
      </c>
      <c r="F16" s="409">
        <v>1500000</v>
      </c>
      <c r="G16" s="404">
        <v>2.88</v>
      </c>
      <c r="H16" s="809">
        <f t="shared" si="0"/>
        <v>43200</v>
      </c>
      <c r="I16" s="497"/>
      <c r="J16" s="404"/>
      <c r="K16" s="383" t="s">
        <v>375</v>
      </c>
      <c r="L16" s="405"/>
      <c r="R16" s="353"/>
      <c r="S16" s="353"/>
      <c r="T16" s="353"/>
      <c r="U16" s="353"/>
      <c r="V16" s="353"/>
    </row>
    <row r="17" spans="1:22" s="365" customFormat="1" x14ac:dyDescent="0.25">
      <c r="B17" s="399">
        <v>110000049072</v>
      </c>
      <c r="C17" s="400">
        <v>42947</v>
      </c>
      <c r="D17" s="400">
        <v>45138</v>
      </c>
      <c r="E17" s="410" t="s">
        <v>379</v>
      </c>
      <c r="F17" s="411">
        <v>1468558.75</v>
      </c>
      <c r="G17" s="412">
        <v>3</v>
      </c>
      <c r="H17" s="809">
        <f t="shared" si="0"/>
        <v>44056.76</v>
      </c>
      <c r="I17" s="523"/>
      <c r="J17" s="412"/>
      <c r="K17" s="383" t="s">
        <v>375</v>
      </c>
      <c r="L17" s="405">
        <v>826</v>
      </c>
      <c r="M17" s="413"/>
      <c r="N17" s="353"/>
      <c r="R17" s="353"/>
      <c r="S17" s="353"/>
      <c r="T17" s="353"/>
      <c r="U17" s="353"/>
      <c r="V17" s="353"/>
    </row>
    <row r="18" spans="1:22" x14ac:dyDescent="0.35">
      <c r="A18" s="370"/>
      <c r="B18" s="414">
        <v>110000052461</v>
      </c>
      <c r="C18" s="401">
        <v>42989</v>
      </c>
      <c r="D18" s="401">
        <v>45180</v>
      </c>
      <c r="E18" s="410" t="s">
        <v>379</v>
      </c>
      <c r="F18" s="403">
        <v>745869</v>
      </c>
      <c r="G18" s="404">
        <v>3</v>
      </c>
      <c r="H18" s="809">
        <f t="shared" si="0"/>
        <v>22376.07</v>
      </c>
      <c r="I18" s="497"/>
      <c r="J18" s="404"/>
      <c r="K18" s="383" t="s">
        <v>375</v>
      </c>
      <c r="L18" s="405">
        <v>2038</v>
      </c>
    </row>
    <row r="19" spans="1:22" x14ac:dyDescent="0.35">
      <c r="A19" s="370"/>
      <c r="B19" s="415">
        <v>110000034964</v>
      </c>
      <c r="C19" s="401">
        <v>43021</v>
      </c>
      <c r="D19" s="401">
        <v>45211</v>
      </c>
      <c r="E19" s="402" t="s">
        <v>379</v>
      </c>
      <c r="F19" s="403">
        <v>25309538.07</v>
      </c>
      <c r="G19" s="404">
        <v>3</v>
      </c>
      <c r="H19" s="809">
        <f t="shared" si="0"/>
        <v>759286.14</v>
      </c>
      <c r="I19" s="497"/>
      <c r="J19" s="404"/>
      <c r="K19" s="383" t="s">
        <v>375</v>
      </c>
      <c r="L19" s="405" t="s">
        <v>380</v>
      </c>
    </row>
    <row r="20" spans="1:22" s="365" customFormat="1" x14ac:dyDescent="0.25">
      <c r="B20" s="399">
        <v>110000060042</v>
      </c>
      <c r="C20" s="400">
        <v>43192</v>
      </c>
      <c r="D20" s="400">
        <v>45749</v>
      </c>
      <c r="E20" s="410" t="s">
        <v>381</v>
      </c>
      <c r="F20" s="411">
        <v>14213000</v>
      </c>
      <c r="G20" s="412">
        <v>3.15</v>
      </c>
      <c r="H20" s="809">
        <f t="shared" si="0"/>
        <v>447709.5</v>
      </c>
      <c r="I20" s="523"/>
      <c r="J20" s="412"/>
      <c r="K20" s="383" t="s">
        <v>375</v>
      </c>
      <c r="L20" s="405"/>
      <c r="R20" s="353"/>
      <c r="S20" s="353"/>
      <c r="T20" s="353"/>
      <c r="U20" s="353"/>
      <c r="V20" s="353"/>
    </row>
    <row r="21" spans="1:22" s="365" customFormat="1" x14ac:dyDescent="0.25">
      <c r="B21" s="399">
        <v>110000060392</v>
      </c>
      <c r="C21" s="406" t="s">
        <v>377</v>
      </c>
      <c r="D21" s="407" t="s">
        <v>382</v>
      </c>
      <c r="E21" s="408" t="s">
        <v>381</v>
      </c>
      <c r="F21" s="409">
        <v>3097662</v>
      </c>
      <c r="G21" s="404">
        <v>3.15</v>
      </c>
      <c r="H21" s="809">
        <f t="shared" si="0"/>
        <v>97576.35</v>
      </c>
      <c r="I21" s="497"/>
      <c r="J21" s="404"/>
      <c r="K21" s="383" t="s">
        <v>375</v>
      </c>
      <c r="L21" s="405"/>
      <c r="R21" s="353"/>
      <c r="S21" s="353"/>
      <c r="T21" s="353"/>
      <c r="U21" s="353"/>
      <c r="V21" s="353"/>
    </row>
    <row r="22" spans="1:22" s="359" customFormat="1" x14ac:dyDescent="0.35">
      <c r="A22" s="341"/>
      <c r="B22" s="416">
        <v>110000055015</v>
      </c>
      <c r="C22" s="417">
        <v>42964</v>
      </c>
      <c r="D22" s="417">
        <v>45887</v>
      </c>
      <c r="E22" s="418" t="s">
        <v>383</v>
      </c>
      <c r="F22" s="419">
        <f>15000000-554.52-554.52-554.52-554.52-554.52-554.52-554.52</f>
        <v>14996118.359999999</v>
      </c>
      <c r="G22" s="420">
        <v>3.25</v>
      </c>
      <c r="H22" s="809">
        <f t="shared" si="0"/>
        <v>487373.85</v>
      </c>
      <c r="I22" s="507"/>
      <c r="J22" s="420"/>
      <c r="K22" s="383" t="s">
        <v>375</v>
      </c>
      <c r="L22" s="405" t="s">
        <v>384</v>
      </c>
      <c r="M22" s="358"/>
      <c r="N22" s="355"/>
      <c r="O22" s="355"/>
      <c r="P22" s="355"/>
      <c r="Q22" s="355"/>
    </row>
    <row r="23" spans="1:22" x14ac:dyDescent="0.35">
      <c r="A23" s="370"/>
      <c r="B23" s="414">
        <v>110000052935</v>
      </c>
      <c r="C23" s="401">
        <v>42975</v>
      </c>
      <c r="D23" s="401">
        <v>45897</v>
      </c>
      <c r="E23" s="402" t="s">
        <v>383</v>
      </c>
      <c r="F23" s="403">
        <v>2925441.92</v>
      </c>
      <c r="G23" s="404">
        <v>3.25</v>
      </c>
      <c r="H23" s="809">
        <f t="shared" si="0"/>
        <v>95076.86</v>
      </c>
      <c r="I23" s="497"/>
      <c r="J23" s="404"/>
      <c r="K23" s="383" t="s">
        <v>375</v>
      </c>
      <c r="L23" s="405" t="s">
        <v>385</v>
      </c>
    </row>
    <row r="24" spans="1:22" hidden="1" x14ac:dyDescent="0.35">
      <c r="A24" s="370"/>
      <c r="B24" s="421" t="s">
        <v>386</v>
      </c>
      <c r="C24" s="401"/>
      <c r="D24" s="422"/>
      <c r="E24" s="423"/>
      <c r="F24" s="424">
        <f>SUM(F25)</f>
        <v>0</v>
      </c>
      <c r="G24" s="425"/>
      <c r="H24" s="368"/>
      <c r="I24" s="368"/>
      <c r="J24" s="369"/>
      <c r="K24" s="426"/>
      <c r="L24" s="405"/>
    </row>
    <row r="25" spans="1:22" s="429" customFormat="1" hidden="1" x14ac:dyDescent="0.35">
      <c r="A25" s="386"/>
      <c r="B25" s="396"/>
      <c r="C25" s="394"/>
      <c r="D25" s="395"/>
      <c r="E25" s="397"/>
      <c r="F25" s="379"/>
      <c r="G25" s="380"/>
      <c r="H25" s="811"/>
      <c r="I25" s="811"/>
      <c r="J25" s="427"/>
      <c r="K25" s="393"/>
      <c r="L25" s="391"/>
      <c r="M25" s="428"/>
      <c r="R25" s="430"/>
      <c r="S25" s="430"/>
      <c r="T25" s="430"/>
      <c r="U25" s="430"/>
      <c r="V25" s="430"/>
    </row>
    <row r="26" spans="1:22" x14ac:dyDescent="0.35">
      <c r="A26" s="370"/>
      <c r="B26" s="812"/>
      <c r="C26" s="813"/>
      <c r="D26" s="814"/>
      <c r="E26" s="814"/>
      <c r="F26" s="815"/>
      <c r="G26" s="816"/>
      <c r="H26" s="817">
        <f>SUM(H13:H25)</f>
        <v>2292684.69</v>
      </c>
      <c r="I26" s="818">
        <f>H26/F9</f>
        <v>3.0300000000000001E-2</v>
      </c>
      <c r="J26" s="819"/>
      <c r="K26" s="353"/>
      <c r="L26" s="405"/>
    </row>
    <row r="27" spans="1:22" x14ac:dyDescent="0.35">
      <c r="A27" s="370"/>
      <c r="B27" s="508" t="s">
        <v>401</v>
      </c>
      <c r="C27" s="509"/>
      <c r="D27" s="509"/>
      <c r="E27" s="509"/>
      <c r="F27" s="486">
        <f>SUM(F28:F31)</f>
        <v>4136184.95</v>
      </c>
      <c r="G27" s="367"/>
      <c r="H27" s="368"/>
      <c r="I27" s="368"/>
      <c r="J27" s="369"/>
      <c r="K27" s="353"/>
      <c r="L27" s="405"/>
    </row>
    <row r="28" spans="1:22" x14ac:dyDescent="0.35">
      <c r="A28" s="370"/>
      <c r="B28" s="614" t="s">
        <v>558</v>
      </c>
      <c r="C28" s="820">
        <v>44817</v>
      </c>
      <c r="D28" s="820">
        <v>44844</v>
      </c>
      <c r="E28" s="726" t="s">
        <v>554</v>
      </c>
      <c r="F28" s="725"/>
      <c r="G28" s="561">
        <v>1.75</v>
      </c>
      <c r="H28" s="804"/>
      <c r="I28" s="804"/>
      <c r="J28" s="561"/>
      <c r="K28" s="821" t="s">
        <v>375</v>
      </c>
      <c r="L28" s="1694" t="s">
        <v>555</v>
      </c>
      <c r="M28" s="1695"/>
    </row>
    <row r="29" spans="1:22" x14ac:dyDescent="0.35">
      <c r="A29" s="370"/>
      <c r="B29" s="614" t="s">
        <v>559</v>
      </c>
      <c r="C29" s="820">
        <v>44820</v>
      </c>
      <c r="D29" s="820">
        <v>44910</v>
      </c>
      <c r="E29" s="726" t="s">
        <v>556</v>
      </c>
      <c r="F29" s="725"/>
      <c r="G29" s="561">
        <v>2.25</v>
      </c>
      <c r="H29" s="804"/>
      <c r="I29" s="804"/>
      <c r="J29" s="561"/>
      <c r="K29" s="821" t="s">
        <v>375</v>
      </c>
      <c r="L29" s="1694" t="s">
        <v>555</v>
      </c>
      <c r="M29" s="1695"/>
    </row>
    <row r="30" spans="1:22" x14ac:dyDescent="0.35">
      <c r="A30" s="370"/>
      <c r="B30" s="614" t="s">
        <v>560</v>
      </c>
      <c r="C30" s="820">
        <v>44834</v>
      </c>
      <c r="D30" s="820">
        <v>44924</v>
      </c>
      <c r="E30" s="726" t="s">
        <v>556</v>
      </c>
      <c r="F30" s="725"/>
      <c r="G30" s="561">
        <v>2.25</v>
      </c>
      <c r="H30" s="804"/>
      <c r="I30" s="804"/>
      <c r="J30" s="561"/>
      <c r="K30" s="821" t="s">
        <v>375</v>
      </c>
      <c r="L30" s="1694" t="s">
        <v>555</v>
      </c>
      <c r="M30" s="1695"/>
    </row>
    <row r="31" spans="1:22" x14ac:dyDescent="0.35">
      <c r="A31" s="370"/>
      <c r="B31" s="822" t="s">
        <v>561</v>
      </c>
      <c r="C31" s="823">
        <v>44798</v>
      </c>
      <c r="D31" s="823">
        <v>44888</v>
      </c>
      <c r="E31" s="824" t="s">
        <v>556</v>
      </c>
      <c r="F31" s="825">
        <v>4136184.95</v>
      </c>
      <c r="G31" s="826">
        <v>2.25</v>
      </c>
      <c r="H31" s="827"/>
      <c r="I31" s="828">
        <v>2.2499999999999999E-2</v>
      </c>
      <c r="J31" s="826"/>
      <c r="K31" s="829" t="s">
        <v>375</v>
      </c>
      <c r="L31" s="810"/>
    </row>
    <row r="32" spans="1:22" x14ac:dyDescent="0.35">
      <c r="B32" s="431" t="s">
        <v>18</v>
      </c>
      <c r="C32" s="432"/>
      <c r="D32" s="433"/>
      <c r="E32" s="433"/>
      <c r="F32" s="433"/>
      <c r="G32" s="434"/>
      <c r="H32" s="830"/>
      <c r="I32" s="830"/>
      <c r="J32" s="831"/>
    </row>
    <row r="33" spans="2:13" s="355" customFormat="1" x14ac:dyDescent="0.35">
      <c r="B33" s="437" t="str">
        <f>[10]SEGUROS!$B$51</f>
        <v xml:space="preserve">FUENTE: DEPTO DE TESORERIA - DNF </v>
      </c>
      <c r="C33" s="438"/>
      <c r="D33" s="438"/>
      <c r="E33" s="1643" t="s">
        <v>388</v>
      </c>
      <c r="F33" s="1643"/>
      <c r="G33" s="439">
        <f>SUM(COUNT(G10:G25))</f>
        <v>14</v>
      </c>
      <c r="H33" s="440"/>
      <c r="I33" s="440"/>
      <c r="J33" s="441"/>
      <c r="K33" s="442"/>
      <c r="L33" s="442"/>
      <c r="M33" s="442"/>
    </row>
    <row r="34" spans="2:13" s="355" customFormat="1" x14ac:dyDescent="0.35">
      <c r="B34" s="443">
        <f>'[10]VENC. '!$B$176</f>
        <v>44839</v>
      </c>
      <c r="C34" s="444"/>
      <c r="D34" s="444"/>
      <c r="E34" s="444"/>
      <c r="F34" s="444"/>
      <c r="G34" s="445"/>
      <c r="H34" s="446"/>
      <c r="I34" s="446"/>
      <c r="J34" s="447"/>
      <c r="K34" s="358"/>
      <c r="L34" s="358"/>
      <c r="M34" s="358"/>
    </row>
    <row r="35" spans="2:13" s="355" customFormat="1" x14ac:dyDescent="0.35">
      <c r="B35" s="448" t="str">
        <f>'[10]VENC. '!B$177</f>
        <v>Preparado por:    _______________________________________</v>
      </c>
      <c r="C35" s="449"/>
      <c r="D35" s="1644" t="str">
        <f>'[10]VENC. '!D$177</f>
        <v>Revisado por:      ___________________________________</v>
      </c>
      <c r="E35" s="1644"/>
      <c r="F35" s="1644"/>
      <c r="G35" s="1645"/>
      <c r="H35" s="435"/>
      <c r="I35" s="435"/>
      <c r="J35" s="450"/>
      <c r="K35" s="358"/>
      <c r="L35" s="358"/>
      <c r="M35" s="358"/>
    </row>
    <row r="36" spans="2:13" s="355" customFormat="1" x14ac:dyDescent="0.35">
      <c r="B36" s="1646" t="str">
        <f>'[10]VENC. '!B$178</f>
        <v>Liz Mayta</v>
      </c>
      <c r="C36" s="1647"/>
      <c r="D36" s="1647" t="str">
        <f>'[10]VENC. '!D$178</f>
        <v xml:space="preserve"> Julio Pérez</v>
      </c>
      <c r="E36" s="1647"/>
      <c r="F36" s="1647"/>
      <c r="G36" s="1648"/>
      <c r="H36" s="451"/>
      <c r="I36" s="451"/>
      <c r="J36" s="452"/>
      <c r="K36" s="358"/>
      <c r="L36" s="358"/>
      <c r="M36" s="358"/>
    </row>
    <row r="37" spans="2:13" s="355" customFormat="1" x14ac:dyDescent="0.35">
      <c r="B37" s="1637" t="str">
        <f>'[10]VENC. '!B$179</f>
        <v>Analista de Presupuesto</v>
      </c>
      <c r="C37" s="1638"/>
      <c r="D37" s="1638" t="str">
        <f>'[10]VENC. '!D$179</f>
        <v>Jefe Encargado de la Sección de Análisis y Programación Financiera</v>
      </c>
      <c r="E37" s="1638"/>
      <c r="F37" s="1638"/>
      <c r="G37" s="1639"/>
      <c r="H37" s="451"/>
      <c r="I37" s="451"/>
      <c r="J37" s="452"/>
      <c r="K37" s="358"/>
      <c r="L37" s="358"/>
      <c r="M37" s="358"/>
    </row>
    <row r="38" spans="2:13" s="355" customFormat="1" x14ac:dyDescent="0.35">
      <c r="B38" s="453"/>
      <c r="C38" s="453"/>
      <c r="D38" s="453"/>
      <c r="E38" s="453"/>
      <c r="F38" s="453"/>
      <c r="G38" s="453"/>
      <c r="H38" s="454"/>
      <c r="I38" s="454"/>
      <c r="J38" s="453"/>
      <c r="K38" s="358"/>
      <c r="L38" s="358"/>
      <c r="M38" s="358"/>
    </row>
    <row r="39" spans="2:13" s="355" customFormat="1" x14ac:dyDescent="0.35">
      <c r="B39" s="344"/>
      <c r="C39" s="344"/>
      <c r="D39" s="455"/>
      <c r="E39" s="336"/>
      <c r="F39" s="456"/>
      <c r="G39" s="457"/>
      <c r="H39" s="458"/>
      <c r="I39" s="458"/>
      <c r="J39" s="457"/>
      <c r="K39" s="358"/>
      <c r="L39" s="358"/>
      <c r="M39" s="358"/>
    </row>
    <row r="40" spans="2:13" s="355" customFormat="1" x14ac:dyDescent="0.35">
      <c r="B40" s="459"/>
      <c r="C40" s="456"/>
      <c r="D40" s="456"/>
      <c r="E40" s="456"/>
      <c r="F40" s="456"/>
      <c r="G40" s="457"/>
      <c r="H40" s="458"/>
      <c r="I40" s="458"/>
      <c r="J40" s="457"/>
      <c r="K40" s="358"/>
      <c r="L40" s="358"/>
      <c r="M40" s="358"/>
    </row>
    <row r="41" spans="2:13" s="355" customFormat="1" x14ac:dyDescent="0.35">
      <c r="B41" s="459"/>
      <c r="C41" s="456"/>
      <c r="D41" s="456"/>
      <c r="E41" s="456"/>
      <c r="F41" s="456"/>
      <c r="G41" s="457"/>
      <c r="H41" s="458"/>
      <c r="I41" s="458"/>
      <c r="J41" s="457"/>
      <c r="K41" s="358"/>
      <c r="L41" s="358"/>
      <c r="M41" s="358"/>
    </row>
  </sheetData>
  <mergeCells count="26">
    <mergeCell ref="B37:C37"/>
    <mergeCell ref="D37:G37"/>
    <mergeCell ref="L29:M29"/>
    <mergeCell ref="L30:M30"/>
    <mergeCell ref="E33:F33"/>
    <mergeCell ref="D35:G35"/>
    <mergeCell ref="B36:C36"/>
    <mergeCell ref="D36:G36"/>
    <mergeCell ref="L28:M28"/>
    <mergeCell ref="B5:B7"/>
    <mergeCell ref="C5:D6"/>
    <mergeCell ref="E5:E7"/>
    <mergeCell ref="F5:F6"/>
    <mergeCell ref="G5:G7"/>
    <mergeCell ref="K5:K7"/>
    <mergeCell ref="M5:R6"/>
    <mergeCell ref="B8:E8"/>
    <mergeCell ref="L10:M10"/>
    <mergeCell ref="L11:M11"/>
    <mergeCell ref="L12:M12"/>
    <mergeCell ref="N1:R1"/>
    <mergeCell ref="B2:G2"/>
    <mergeCell ref="M2:R2"/>
    <mergeCell ref="B3:G3"/>
    <mergeCell ref="M3:M4"/>
    <mergeCell ref="B4:G4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theme="5"/>
  </sheetPr>
  <dimension ref="A1:V104"/>
  <sheetViews>
    <sheetView workbookViewId="0">
      <selection activeCell="H14" sqref="H14"/>
    </sheetView>
  </sheetViews>
  <sheetFormatPr baseColWidth="10" defaultColWidth="12.7265625" defaultRowHeight="15.5" x14ac:dyDescent="0.35"/>
  <cols>
    <col min="1" max="1" width="7.7265625" style="355" customWidth="1"/>
    <col min="2" max="2" width="29.54296875" style="456" customWidth="1"/>
    <col min="3" max="3" width="17" style="456" customWidth="1"/>
    <col min="4" max="4" width="16.1796875" style="456" customWidth="1"/>
    <col min="5" max="5" width="13" style="456" customWidth="1"/>
    <col min="6" max="6" width="21" style="456" customWidth="1"/>
    <col min="7" max="7" width="21" style="457" customWidth="1"/>
    <col min="8" max="8" width="21" style="458" customWidth="1"/>
    <col min="9" max="9" width="21" style="543" customWidth="1"/>
    <col min="10" max="10" width="21" style="458" customWidth="1"/>
    <col min="11" max="11" width="45.26953125" style="891" bestFit="1" customWidth="1"/>
    <col min="12" max="12" width="34.1796875" style="358" customWidth="1"/>
    <col min="13" max="13" width="22.7265625" style="358" customWidth="1"/>
    <col min="14" max="14" width="16" style="355" customWidth="1"/>
    <col min="15" max="17" width="12.7265625" style="355"/>
    <col min="18" max="22" width="12.7265625" style="359"/>
    <col min="23" max="16384" width="12.7265625" style="355"/>
  </cols>
  <sheetData>
    <row r="1" spans="1:22" s="331" customFormat="1" ht="21.75" customHeight="1" x14ac:dyDescent="0.25">
      <c r="B1" s="546"/>
      <c r="C1" s="547"/>
      <c r="D1" s="547"/>
      <c r="E1" s="547"/>
      <c r="F1" s="547"/>
      <c r="G1" s="334" t="s">
        <v>432</v>
      </c>
      <c r="H1" s="335"/>
      <c r="I1" s="832"/>
      <c r="J1" s="335"/>
      <c r="K1" s="833"/>
      <c r="L1" s="337"/>
      <c r="M1" s="338"/>
      <c r="N1" s="1654"/>
      <c r="O1" s="1654"/>
      <c r="P1" s="1654"/>
      <c r="Q1" s="1654"/>
      <c r="R1" s="1654"/>
      <c r="S1" s="340"/>
      <c r="T1" s="340"/>
      <c r="U1" s="340"/>
      <c r="V1" s="340"/>
    </row>
    <row r="2" spans="1:22" s="331" customFormat="1" ht="21.75" customHeight="1" x14ac:dyDescent="0.25">
      <c r="B2" s="1666" t="s">
        <v>0</v>
      </c>
      <c r="C2" s="1667"/>
      <c r="D2" s="1667"/>
      <c r="E2" s="1667"/>
      <c r="F2" s="1667"/>
      <c r="G2" s="1668"/>
      <c r="H2" s="469"/>
      <c r="I2" s="470"/>
      <c r="J2" s="469"/>
      <c r="K2" s="833"/>
      <c r="L2" s="337"/>
      <c r="M2" s="338"/>
      <c r="N2" s="339"/>
      <c r="O2" s="339"/>
      <c r="P2" s="339"/>
      <c r="Q2" s="339"/>
      <c r="R2" s="339"/>
      <c r="S2" s="340"/>
      <c r="T2" s="340"/>
      <c r="U2" s="340"/>
      <c r="V2" s="340"/>
    </row>
    <row r="3" spans="1:22" s="341" customFormat="1" ht="21.75" customHeight="1" x14ac:dyDescent="0.25">
      <c r="B3" s="1669" t="s">
        <v>433</v>
      </c>
      <c r="C3" s="1670"/>
      <c r="D3" s="1670"/>
      <c r="E3" s="1670"/>
      <c r="F3" s="1670"/>
      <c r="G3" s="1671"/>
      <c r="H3" s="471"/>
      <c r="I3" s="472"/>
      <c r="J3" s="471"/>
      <c r="K3" s="834"/>
      <c r="L3" s="345"/>
      <c r="M3" s="1658"/>
      <c r="N3" s="1658"/>
      <c r="O3" s="1658"/>
      <c r="P3" s="1658"/>
      <c r="Q3" s="1658"/>
      <c r="R3" s="1658"/>
      <c r="S3" s="346"/>
      <c r="T3" s="346"/>
      <c r="U3" s="346"/>
      <c r="V3" s="346"/>
    </row>
    <row r="4" spans="1:22" s="352" customFormat="1" ht="21.75" customHeight="1" x14ac:dyDescent="0.25">
      <c r="A4" s="347"/>
      <c r="B4" s="1669" t="s">
        <v>434</v>
      </c>
      <c r="C4" s="1670"/>
      <c r="D4" s="1670"/>
      <c r="E4" s="1670"/>
      <c r="F4" s="1670"/>
      <c r="G4" s="1671"/>
      <c r="H4" s="471"/>
      <c r="I4" s="472"/>
      <c r="J4" s="471"/>
      <c r="K4" s="835"/>
      <c r="L4" s="350"/>
      <c r="M4" s="1662"/>
      <c r="N4" s="351"/>
      <c r="O4" s="351"/>
      <c r="P4" s="351"/>
      <c r="Q4" s="351"/>
      <c r="R4" s="351"/>
      <c r="S4" s="346"/>
      <c r="T4" s="346"/>
      <c r="U4" s="346"/>
      <c r="V4" s="347"/>
    </row>
    <row r="5" spans="1:22" s="352" customFormat="1" ht="21.75" customHeight="1" x14ac:dyDescent="0.25">
      <c r="A5" s="347"/>
      <c r="B5" s="1672" t="str">
        <f>'[10]VENC. '!$B$4</f>
        <v xml:space="preserve"> AL 30 DE SEPTIEMBRE  2022</v>
      </c>
      <c r="C5" s="1673"/>
      <c r="D5" s="1673"/>
      <c r="E5" s="1673"/>
      <c r="F5" s="1673"/>
      <c r="G5" s="1674"/>
      <c r="H5" s="469"/>
      <c r="I5" s="470"/>
      <c r="J5" s="469"/>
      <c r="K5" s="835"/>
      <c r="L5" s="350"/>
      <c r="M5" s="1662"/>
      <c r="N5" s="351"/>
      <c r="O5" s="351"/>
      <c r="P5" s="351"/>
      <c r="Q5" s="351"/>
      <c r="R5" s="351"/>
      <c r="S5" s="346"/>
      <c r="T5" s="346"/>
      <c r="U5" s="346"/>
      <c r="V5" s="347"/>
    </row>
    <row r="6" spans="1:22" s="341" customFormat="1" ht="16.5" customHeight="1" x14ac:dyDescent="0.25">
      <c r="B6" s="1649" t="s">
        <v>362</v>
      </c>
      <c r="C6" s="1651" t="s">
        <v>363</v>
      </c>
      <c r="D6" s="1652"/>
      <c r="E6" s="1649" t="s">
        <v>364</v>
      </c>
      <c r="F6" s="1649" t="s">
        <v>365</v>
      </c>
      <c r="G6" s="1649" t="s">
        <v>366</v>
      </c>
      <c r="H6" s="356"/>
      <c r="I6" s="836"/>
      <c r="J6" s="356"/>
      <c r="K6" s="1696" t="s">
        <v>367</v>
      </c>
      <c r="L6" s="350"/>
      <c r="M6" s="1662"/>
      <c r="N6" s="353"/>
      <c r="O6" s="353"/>
      <c r="P6" s="345"/>
      <c r="Q6" s="345"/>
      <c r="R6" s="354"/>
      <c r="S6" s="346"/>
      <c r="T6" s="346"/>
      <c r="U6" s="346"/>
      <c r="V6" s="346"/>
    </row>
    <row r="7" spans="1:22" ht="16.5" customHeight="1" x14ac:dyDescent="0.35">
      <c r="B7" s="1649"/>
      <c r="C7" s="1651"/>
      <c r="D7" s="1652"/>
      <c r="E7" s="1649"/>
      <c r="F7" s="1649"/>
      <c r="G7" s="1649"/>
      <c r="H7" s="356"/>
      <c r="I7" s="836"/>
      <c r="J7" s="356"/>
      <c r="K7" s="1697"/>
      <c r="M7" s="1640"/>
      <c r="N7" s="1640"/>
      <c r="O7" s="1640"/>
      <c r="P7" s="1640"/>
      <c r="Q7" s="1640"/>
      <c r="R7" s="1640"/>
    </row>
    <row r="8" spans="1:22" ht="16.5" customHeight="1" x14ac:dyDescent="0.35">
      <c r="B8" s="1650"/>
      <c r="C8" s="360" t="s">
        <v>368</v>
      </c>
      <c r="D8" s="361" t="s">
        <v>369</v>
      </c>
      <c r="E8" s="1650"/>
      <c r="F8" s="362" t="s">
        <v>370</v>
      </c>
      <c r="G8" s="1650"/>
      <c r="H8" s="363"/>
      <c r="I8" s="837"/>
      <c r="J8" s="363"/>
      <c r="K8" s="1698"/>
      <c r="M8" s="1640"/>
      <c r="N8" s="1640"/>
      <c r="O8" s="1640"/>
      <c r="P8" s="1640"/>
      <c r="Q8" s="1640"/>
      <c r="R8" s="1640"/>
    </row>
    <row r="9" spans="1:22" ht="21" customHeight="1" x14ac:dyDescent="0.35">
      <c r="B9" s="1685" t="s">
        <v>435</v>
      </c>
      <c r="C9" s="1686"/>
      <c r="D9" s="1686"/>
      <c r="E9" s="1686"/>
      <c r="F9" s="366">
        <f>F10+F48</f>
        <v>2111418427.5799999</v>
      </c>
      <c r="G9" s="367"/>
      <c r="H9" s="368"/>
      <c r="I9" s="525"/>
      <c r="J9" s="368"/>
      <c r="K9" s="838"/>
      <c r="L9" s="353"/>
      <c r="M9" s="354"/>
      <c r="N9" s="338"/>
      <c r="O9" s="338"/>
      <c r="P9" s="338"/>
      <c r="Q9" s="338"/>
      <c r="R9" s="338"/>
      <c r="S9" s="340"/>
    </row>
    <row r="10" spans="1:22" s="365" customFormat="1" ht="21" customHeight="1" x14ac:dyDescent="0.25">
      <c r="B10" s="588" t="s">
        <v>219</v>
      </c>
      <c r="C10" s="534"/>
      <c r="D10" s="534"/>
      <c r="E10" s="534"/>
      <c r="F10" s="373">
        <f>SUM(F11)+F17+F39+F42+F46</f>
        <v>931722876.08000004</v>
      </c>
      <c r="G10" s="367"/>
      <c r="H10" s="368"/>
      <c r="I10" s="525"/>
      <c r="J10" s="368"/>
      <c r="K10" s="839"/>
      <c r="M10" s="589"/>
      <c r="R10" s="353"/>
      <c r="S10" s="353"/>
      <c r="T10" s="353"/>
      <c r="U10" s="353"/>
      <c r="V10" s="353"/>
    </row>
    <row r="11" spans="1:22" s="365" customFormat="1" ht="21" customHeight="1" x14ac:dyDescent="0.25">
      <c r="B11" s="590" t="s">
        <v>372</v>
      </c>
      <c r="C11" s="534"/>
      <c r="D11" s="534"/>
      <c r="E11" s="534"/>
      <c r="F11" s="373">
        <f>SUM(F12:F16)</f>
        <v>423116264.45999998</v>
      </c>
      <c r="G11" s="367"/>
      <c r="H11" s="368"/>
      <c r="I11" s="525"/>
      <c r="J11" s="368"/>
      <c r="K11" s="839"/>
      <c r="R11" s="353"/>
      <c r="S11" s="353"/>
      <c r="T11" s="353"/>
      <c r="U11" s="353"/>
      <c r="V11" s="353"/>
    </row>
    <row r="12" spans="1:22" s="840" customFormat="1" ht="20.25" customHeight="1" x14ac:dyDescent="0.25">
      <c r="B12" s="487">
        <v>150000127101</v>
      </c>
      <c r="C12" s="841">
        <v>44834</v>
      </c>
      <c r="D12" s="842">
        <v>44837</v>
      </c>
      <c r="E12" s="843" t="s">
        <v>562</v>
      </c>
      <c r="F12" s="710"/>
      <c r="G12" s="492">
        <v>1.1000000000000001</v>
      </c>
      <c r="H12" s="493"/>
      <c r="I12" s="494"/>
      <c r="J12" s="493"/>
      <c r="K12" s="844" t="s">
        <v>375</v>
      </c>
      <c r="L12" s="845" t="s">
        <v>563</v>
      </c>
      <c r="R12" s="846"/>
      <c r="S12" s="846"/>
      <c r="T12" s="846"/>
      <c r="U12" s="846"/>
      <c r="V12" s="846"/>
    </row>
    <row r="13" spans="1:22" s="840" customFormat="1" ht="20.25" customHeight="1" x14ac:dyDescent="0.25">
      <c r="B13" s="487">
        <v>150000127110</v>
      </c>
      <c r="C13" s="841">
        <v>44834</v>
      </c>
      <c r="D13" s="842">
        <v>44837</v>
      </c>
      <c r="E13" s="843" t="s">
        <v>562</v>
      </c>
      <c r="F13" s="710"/>
      <c r="G13" s="492">
        <v>1.1000000000000001</v>
      </c>
      <c r="H13" s="493"/>
      <c r="I13" s="494"/>
      <c r="J13" s="493"/>
      <c r="K13" s="844" t="s">
        <v>375</v>
      </c>
      <c r="L13" s="845" t="s">
        <v>563</v>
      </c>
      <c r="R13" s="846"/>
      <c r="S13" s="846"/>
      <c r="T13" s="846"/>
      <c r="U13" s="846"/>
      <c r="V13" s="846"/>
    </row>
    <row r="14" spans="1:22" s="847" customFormat="1" ht="20.25" customHeight="1" x14ac:dyDescent="0.25">
      <c r="B14" s="487">
        <v>150000127148</v>
      </c>
      <c r="C14" s="841">
        <v>44834</v>
      </c>
      <c r="D14" s="842">
        <v>44837</v>
      </c>
      <c r="E14" s="843" t="s">
        <v>562</v>
      </c>
      <c r="F14" s="1200">
        <v>256000000</v>
      </c>
      <c r="G14" s="492">
        <v>1.1000000000000001</v>
      </c>
      <c r="H14" s="493">
        <f>F14*G14/100/360</f>
        <v>7822.22</v>
      </c>
      <c r="I14" s="494"/>
      <c r="J14" s="493"/>
      <c r="K14" s="848" t="s">
        <v>437</v>
      </c>
      <c r="L14" s="426"/>
      <c r="R14" s="426"/>
      <c r="S14" s="426"/>
      <c r="T14" s="426"/>
      <c r="U14" s="426"/>
      <c r="V14" s="426"/>
    </row>
    <row r="15" spans="1:22" s="370" customFormat="1" ht="21" customHeight="1" x14ac:dyDescent="0.25">
      <c r="A15" s="365"/>
      <c r="B15" s="511">
        <v>110000053315</v>
      </c>
      <c r="C15" s="849">
        <v>42916</v>
      </c>
      <c r="D15" s="849">
        <v>45838</v>
      </c>
      <c r="E15" s="516" t="s">
        <v>383</v>
      </c>
      <c r="F15" s="521">
        <v>130615601.88</v>
      </c>
      <c r="G15" s="502">
        <v>3.25</v>
      </c>
      <c r="H15" s="493">
        <f t="shared" ref="H15:H78" si="0">F15*G15/100</f>
        <v>4245007.0599999996</v>
      </c>
      <c r="I15" s="503"/>
      <c r="J15" s="504"/>
      <c r="K15" s="850" t="s">
        <v>375</v>
      </c>
      <c r="L15" s="365" t="s">
        <v>397</v>
      </c>
      <c r="M15" s="365"/>
      <c r="N15" s="599"/>
      <c r="R15" s="374"/>
      <c r="S15" s="374"/>
      <c r="T15" s="374"/>
      <c r="U15" s="374"/>
      <c r="V15" s="374"/>
    </row>
    <row r="16" spans="1:22" s="365" customFormat="1" ht="21" customHeight="1" x14ac:dyDescent="0.25">
      <c r="B16" s="414">
        <v>110000058581</v>
      </c>
      <c r="C16" s="408" t="s">
        <v>398</v>
      </c>
      <c r="D16" s="408" t="s">
        <v>399</v>
      </c>
      <c r="E16" s="408" t="s">
        <v>383</v>
      </c>
      <c r="F16" s="521">
        <v>36500662.579999998</v>
      </c>
      <c r="G16" s="404">
        <v>3.3</v>
      </c>
      <c r="H16" s="493">
        <f t="shared" si="0"/>
        <v>1204521.8700000001</v>
      </c>
      <c r="I16" s="496"/>
      <c r="J16" s="497"/>
      <c r="K16" s="850" t="s">
        <v>375</v>
      </c>
      <c r="L16" s="365" t="s">
        <v>400</v>
      </c>
      <c r="R16" s="353"/>
      <c r="S16" s="353"/>
      <c r="T16" s="353"/>
      <c r="U16" s="353"/>
      <c r="V16" s="353"/>
    </row>
    <row r="17" spans="1:22" s="365" customFormat="1" ht="21" customHeight="1" x14ac:dyDescent="0.25">
      <c r="B17" s="600" t="s">
        <v>401</v>
      </c>
      <c r="C17" s="423"/>
      <c r="D17" s="423"/>
      <c r="E17" s="407"/>
      <c r="F17" s="601">
        <f>SUM(F18:F38)</f>
        <v>351106611.62</v>
      </c>
      <c r="G17" s="602"/>
      <c r="H17" s="851">
        <f>SUM(H14:H16)</f>
        <v>5457351.1500000004</v>
      </c>
      <c r="I17" s="852">
        <f>H17/F11</f>
        <v>1.29E-2</v>
      </c>
      <c r="J17" s="368"/>
      <c r="K17" s="839"/>
      <c r="R17" s="353"/>
      <c r="S17" s="353"/>
      <c r="T17" s="353"/>
      <c r="U17" s="353"/>
      <c r="V17" s="353"/>
    </row>
    <row r="18" spans="1:22" s="392" customFormat="1" ht="21" customHeight="1" x14ac:dyDescent="0.25">
      <c r="B18" s="415" t="s">
        <v>441</v>
      </c>
      <c r="C18" s="853">
        <v>42431</v>
      </c>
      <c r="D18" s="853">
        <v>44986</v>
      </c>
      <c r="E18" s="408" t="s">
        <v>381</v>
      </c>
      <c r="F18" s="854">
        <v>15237563.42</v>
      </c>
      <c r="G18" s="404">
        <v>4.8125</v>
      </c>
      <c r="H18" s="493">
        <f t="shared" si="0"/>
        <v>733307.74</v>
      </c>
      <c r="I18" s="496"/>
      <c r="J18" s="497"/>
      <c r="K18" s="850" t="s">
        <v>375</v>
      </c>
      <c r="L18" s="392" t="s">
        <v>18</v>
      </c>
      <c r="R18" s="393"/>
      <c r="S18" s="393"/>
      <c r="T18" s="393"/>
      <c r="U18" s="393"/>
      <c r="V18" s="393"/>
    </row>
    <row r="19" spans="1:22" s="386" customFormat="1" ht="21" customHeight="1" x14ac:dyDescent="0.25">
      <c r="A19" s="392"/>
      <c r="B19" s="511" t="s">
        <v>442</v>
      </c>
      <c r="C19" s="849">
        <v>42599</v>
      </c>
      <c r="D19" s="849">
        <v>45155</v>
      </c>
      <c r="E19" s="516" t="s">
        <v>381</v>
      </c>
      <c r="F19" s="521">
        <v>10275434.09</v>
      </c>
      <c r="G19" s="412">
        <v>4.8</v>
      </c>
      <c r="H19" s="493">
        <f t="shared" si="0"/>
        <v>493220.84</v>
      </c>
      <c r="I19" s="522"/>
      <c r="J19" s="523"/>
      <c r="K19" s="850" t="s">
        <v>375</v>
      </c>
      <c r="L19" s="392"/>
      <c r="M19" s="392"/>
      <c r="R19" s="604"/>
      <c r="S19" s="604"/>
      <c r="T19" s="604"/>
      <c r="U19" s="604"/>
      <c r="V19" s="604"/>
    </row>
    <row r="20" spans="1:22" s="579" customFormat="1" ht="21" customHeight="1" x14ac:dyDescent="0.25">
      <c r="B20" s="415" t="s">
        <v>443</v>
      </c>
      <c r="C20" s="853">
        <v>42250</v>
      </c>
      <c r="D20" s="853">
        <v>45170</v>
      </c>
      <c r="E20" s="408" t="s">
        <v>383</v>
      </c>
      <c r="F20" s="854">
        <v>41978090.93</v>
      </c>
      <c r="G20" s="404">
        <v>4.875</v>
      </c>
      <c r="H20" s="493">
        <f t="shared" si="0"/>
        <v>2046431.93</v>
      </c>
      <c r="I20" s="496"/>
      <c r="J20" s="497" t="s">
        <v>637</v>
      </c>
      <c r="K20" s="850" t="s">
        <v>375</v>
      </c>
      <c r="L20" s="392"/>
      <c r="M20" s="605"/>
      <c r="R20" s="581"/>
      <c r="S20" s="581"/>
      <c r="T20" s="581"/>
      <c r="U20" s="581"/>
      <c r="V20" s="581"/>
    </row>
    <row r="21" spans="1:22" s="392" customFormat="1" ht="21" customHeight="1" x14ac:dyDescent="0.25">
      <c r="B21" s="415" t="s">
        <v>445</v>
      </c>
      <c r="C21" s="853">
        <v>42277</v>
      </c>
      <c r="D21" s="853">
        <v>45197</v>
      </c>
      <c r="E21" s="408" t="s">
        <v>383</v>
      </c>
      <c r="F21" s="854">
        <v>11110167.27</v>
      </c>
      <c r="G21" s="404">
        <v>4.9000000000000004</v>
      </c>
      <c r="H21" s="493">
        <f t="shared" si="0"/>
        <v>544398.19999999995</v>
      </c>
      <c r="I21" s="496"/>
      <c r="J21" s="497"/>
      <c r="K21" s="850" t="s">
        <v>375</v>
      </c>
      <c r="R21" s="393"/>
      <c r="S21" s="393"/>
      <c r="T21" s="393"/>
      <c r="U21" s="393"/>
      <c r="V21" s="393"/>
    </row>
    <row r="22" spans="1:22" s="579" customFormat="1" ht="21" customHeight="1" x14ac:dyDescent="0.25">
      <c r="B22" s="511" t="s">
        <v>446</v>
      </c>
      <c r="C22" s="849">
        <v>43340</v>
      </c>
      <c r="D22" s="516">
        <v>45530</v>
      </c>
      <c r="E22" s="516" t="s">
        <v>379</v>
      </c>
      <c r="F22" s="521">
        <v>8254649.3200000003</v>
      </c>
      <c r="G22" s="412">
        <v>4.875</v>
      </c>
      <c r="H22" s="493">
        <f t="shared" si="0"/>
        <v>402414.15</v>
      </c>
      <c r="I22" s="522"/>
      <c r="J22" s="523"/>
      <c r="K22" s="850" t="s">
        <v>375</v>
      </c>
      <c r="L22" s="392" t="s">
        <v>447</v>
      </c>
      <c r="Q22" s="581"/>
      <c r="R22" s="581"/>
      <c r="S22" s="581"/>
      <c r="T22" s="581"/>
      <c r="U22" s="581"/>
    </row>
    <row r="23" spans="1:22" s="386" customFormat="1" ht="21" customHeight="1" x14ac:dyDescent="0.25">
      <c r="A23" s="392"/>
      <c r="B23" s="511" t="s">
        <v>448</v>
      </c>
      <c r="C23" s="849">
        <v>43017</v>
      </c>
      <c r="D23" s="516">
        <v>45574</v>
      </c>
      <c r="E23" s="516" t="s">
        <v>381</v>
      </c>
      <c r="F23" s="521">
        <v>11837095.42</v>
      </c>
      <c r="G23" s="404">
        <v>4.5</v>
      </c>
      <c r="H23" s="493">
        <f t="shared" si="0"/>
        <v>532669.29</v>
      </c>
      <c r="I23" s="496"/>
      <c r="J23" s="497"/>
      <c r="K23" s="850" t="s">
        <v>375</v>
      </c>
      <c r="L23" s="392"/>
      <c r="M23" s="392"/>
      <c r="R23" s="604"/>
      <c r="S23" s="604"/>
      <c r="T23" s="604"/>
      <c r="U23" s="604"/>
      <c r="V23" s="604"/>
    </row>
    <row r="24" spans="1:22" s="386" customFormat="1" ht="21" customHeight="1" x14ac:dyDescent="0.25">
      <c r="A24" s="392"/>
      <c r="B24" s="511" t="s">
        <v>449</v>
      </c>
      <c r="C24" s="849">
        <v>43511</v>
      </c>
      <c r="D24" s="516">
        <v>45702</v>
      </c>
      <c r="E24" s="516" t="s">
        <v>379</v>
      </c>
      <c r="F24" s="521">
        <v>40953267.450000003</v>
      </c>
      <c r="G24" s="404">
        <v>5</v>
      </c>
      <c r="H24" s="493">
        <f t="shared" si="0"/>
        <v>2047663.37</v>
      </c>
      <c r="I24" s="496"/>
      <c r="J24" s="497"/>
      <c r="K24" s="850" t="s">
        <v>375</v>
      </c>
      <c r="L24" s="392"/>
      <c r="M24" s="392"/>
      <c r="R24" s="604"/>
      <c r="S24" s="604"/>
      <c r="T24" s="604"/>
      <c r="U24" s="604"/>
      <c r="V24" s="604"/>
    </row>
    <row r="25" spans="1:22" s="579" customFormat="1" ht="21" customHeight="1" x14ac:dyDescent="0.25">
      <c r="B25" s="606" t="s">
        <v>450</v>
      </c>
      <c r="C25" s="849">
        <v>43434</v>
      </c>
      <c r="D25" s="849">
        <v>45988</v>
      </c>
      <c r="E25" s="516" t="s">
        <v>381</v>
      </c>
      <c r="F25" s="521">
        <v>12660000</v>
      </c>
      <c r="G25" s="412">
        <v>5.125</v>
      </c>
      <c r="H25" s="493">
        <f t="shared" si="0"/>
        <v>648825</v>
      </c>
      <c r="I25" s="522"/>
      <c r="J25" s="523"/>
      <c r="K25" s="850" t="s">
        <v>375</v>
      </c>
      <c r="L25" s="392" t="s">
        <v>451</v>
      </c>
      <c r="R25" s="581"/>
      <c r="S25" s="581"/>
      <c r="T25" s="581"/>
      <c r="U25" s="581"/>
      <c r="V25" s="581"/>
    </row>
    <row r="26" spans="1:22" s="579" customFormat="1" ht="21" customHeight="1" x14ac:dyDescent="0.25">
      <c r="B26" s="511" t="s">
        <v>452</v>
      </c>
      <c r="C26" s="849">
        <v>43452</v>
      </c>
      <c r="D26" s="849">
        <v>46007</v>
      </c>
      <c r="E26" s="516" t="s">
        <v>381</v>
      </c>
      <c r="F26" s="521">
        <v>8065285.2000000002</v>
      </c>
      <c r="G26" s="412">
        <v>5.125</v>
      </c>
      <c r="H26" s="493">
        <f t="shared" si="0"/>
        <v>413345.87</v>
      </c>
      <c r="I26" s="522"/>
      <c r="J26" s="523"/>
      <c r="K26" s="850" t="s">
        <v>375</v>
      </c>
      <c r="L26" s="391" t="s">
        <v>453</v>
      </c>
      <c r="R26" s="581"/>
      <c r="S26" s="581"/>
      <c r="T26" s="581"/>
      <c r="U26" s="581"/>
      <c r="V26" s="581"/>
    </row>
    <row r="27" spans="1:22" s="579" customFormat="1" ht="21" customHeight="1" x14ac:dyDescent="0.25">
      <c r="B27" s="511" t="s">
        <v>454</v>
      </c>
      <c r="C27" s="849">
        <v>43815</v>
      </c>
      <c r="D27" s="849">
        <v>46370</v>
      </c>
      <c r="E27" s="516" t="s">
        <v>381</v>
      </c>
      <c r="F27" s="521">
        <v>4618825.3099999996</v>
      </c>
      <c r="G27" s="412">
        <v>4.25</v>
      </c>
      <c r="H27" s="493">
        <f t="shared" si="0"/>
        <v>196300.08</v>
      </c>
      <c r="I27" s="522"/>
      <c r="J27" s="523"/>
      <c r="K27" s="850" t="s">
        <v>375</v>
      </c>
      <c r="L27" s="608" t="s">
        <v>409</v>
      </c>
      <c r="R27" s="581"/>
      <c r="S27" s="581"/>
      <c r="T27" s="581"/>
      <c r="U27" s="581"/>
      <c r="V27" s="581"/>
    </row>
    <row r="28" spans="1:22" s="609" customFormat="1" ht="21" customHeight="1" x14ac:dyDescent="0.25">
      <c r="B28" s="511" t="s">
        <v>455</v>
      </c>
      <c r="C28" s="849">
        <v>44075</v>
      </c>
      <c r="D28" s="849">
        <v>46629</v>
      </c>
      <c r="E28" s="516" t="s">
        <v>381</v>
      </c>
      <c r="F28" s="521">
        <v>123965.58</v>
      </c>
      <c r="G28" s="412">
        <v>3.53</v>
      </c>
      <c r="H28" s="493">
        <f t="shared" si="0"/>
        <v>4375.9799999999996</v>
      </c>
      <c r="I28" s="522"/>
      <c r="J28" s="523"/>
      <c r="K28" s="850" t="s">
        <v>375</v>
      </c>
      <c r="L28" s="610"/>
      <c r="R28" s="611"/>
      <c r="S28" s="611"/>
      <c r="T28" s="611"/>
      <c r="U28" s="611"/>
      <c r="V28" s="611"/>
    </row>
    <row r="29" spans="1:22" s="612" customFormat="1" ht="21" customHeight="1" x14ac:dyDescent="0.25">
      <c r="B29" s="511" t="s">
        <v>456</v>
      </c>
      <c r="C29" s="849">
        <v>43815</v>
      </c>
      <c r="D29" s="849">
        <v>46735</v>
      </c>
      <c r="E29" s="516" t="s">
        <v>383</v>
      </c>
      <c r="F29" s="521">
        <v>25000000</v>
      </c>
      <c r="G29" s="412">
        <v>4.375</v>
      </c>
      <c r="H29" s="493">
        <f t="shared" si="0"/>
        <v>1093750</v>
      </c>
      <c r="I29" s="522"/>
      <c r="J29" s="523"/>
      <c r="K29" s="850" t="s">
        <v>375</v>
      </c>
      <c r="L29" s="608" t="s">
        <v>409</v>
      </c>
      <c r="R29" s="613"/>
      <c r="S29" s="613"/>
      <c r="T29" s="613"/>
      <c r="U29" s="613"/>
      <c r="V29" s="613"/>
    </row>
    <row r="30" spans="1:22" s="855" customFormat="1" ht="21" customHeight="1" x14ac:dyDescent="0.25">
      <c r="B30" s="730" t="s">
        <v>564</v>
      </c>
      <c r="C30" s="856">
        <v>44799</v>
      </c>
      <c r="D30" s="856">
        <v>46989</v>
      </c>
      <c r="E30" s="724" t="s">
        <v>379</v>
      </c>
      <c r="F30" s="857">
        <v>2165000</v>
      </c>
      <c r="G30" s="561">
        <v>4.125</v>
      </c>
      <c r="H30" s="493">
        <f t="shared" si="0"/>
        <v>89306.25</v>
      </c>
      <c r="I30" s="858"/>
      <c r="J30" s="804"/>
      <c r="K30" s="859" t="s">
        <v>437</v>
      </c>
      <c r="L30" s="860"/>
      <c r="R30" s="861"/>
      <c r="S30" s="861"/>
      <c r="T30" s="861"/>
      <c r="U30" s="861"/>
      <c r="V30" s="861"/>
    </row>
    <row r="31" spans="1:22" s="855" customFormat="1" ht="21" customHeight="1" x14ac:dyDescent="0.25">
      <c r="B31" s="730" t="s">
        <v>565</v>
      </c>
      <c r="C31" s="856">
        <v>44799</v>
      </c>
      <c r="D31" s="856">
        <v>47354</v>
      </c>
      <c r="E31" s="862" t="s">
        <v>381</v>
      </c>
      <c r="F31" s="857">
        <v>2165000</v>
      </c>
      <c r="G31" s="561">
        <v>4.25</v>
      </c>
      <c r="H31" s="493">
        <f t="shared" si="0"/>
        <v>92012.5</v>
      </c>
      <c r="I31" s="858"/>
      <c r="J31" s="804"/>
      <c r="K31" s="859"/>
      <c r="L31" s="860"/>
      <c r="R31" s="861"/>
      <c r="S31" s="861"/>
      <c r="T31" s="861"/>
      <c r="U31" s="861"/>
      <c r="V31" s="861"/>
    </row>
    <row r="32" spans="1:22" s="612" customFormat="1" ht="21" customHeight="1" x14ac:dyDescent="0.25">
      <c r="B32" s="511" t="s">
        <v>457</v>
      </c>
      <c r="C32" s="849">
        <v>44075</v>
      </c>
      <c r="D32" s="849">
        <v>46995</v>
      </c>
      <c r="E32" s="516" t="s">
        <v>383</v>
      </c>
      <c r="F32" s="521">
        <v>50000000</v>
      </c>
      <c r="G32" s="412">
        <v>3.55</v>
      </c>
      <c r="H32" s="493">
        <f t="shared" si="0"/>
        <v>1775000</v>
      </c>
      <c r="I32" s="522"/>
      <c r="J32" s="523"/>
      <c r="K32" s="850" t="s">
        <v>375</v>
      </c>
      <c r="L32" s="608"/>
      <c r="R32" s="613"/>
      <c r="S32" s="613"/>
      <c r="T32" s="613"/>
      <c r="U32" s="613"/>
      <c r="V32" s="613"/>
    </row>
    <row r="33" spans="1:22" s="612" customFormat="1" ht="21" customHeight="1" x14ac:dyDescent="0.25">
      <c r="B33" s="511" t="s">
        <v>458</v>
      </c>
      <c r="C33" s="849">
        <v>44676</v>
      </c>
      <c r="D33" s="849">
        <v>47231</v>
      </c>
      <c r="E33" s="516" t="s">
        <v>381</v>
      </c>
      <c r="F33" s="521">
        <v>30000000</v>
      </c>
      <c r="G33" s="412">
        <v>3.125</v>
      </c>
      <c r="H33" s="493">
        <f t="shared" si="0"/>
        <v>937500</v>
      </c>
      <c r="I33" s="522"/>
      <c r="J33" s="523"/>
      <c r="K33" s="850" t="s">
        <v>437</v>
      </c>
      <c r="L33" s="608" t="s">
        <v>459</v>
      </c>
      <c r="R33" s="613"/>
      <c r="S33" s="613"/>
      <c r="T33" s="613"/>
      <c r="U33" s="613"/>
      <c r="V33" s="613"/>
    </row>
    <row r="34" spans="1:22" s="612" customFormat="1" ht="21" customHeight="1" x14ac:dyDescent="0.25">
      <c r="B34" s="614" t="s">
        <v>460</v>
      </c>
      <c r="C34" s="820">
        <v>44726</v>
      </c>
      <c r="D34" s="820">
        <v>47281</v>
      </c>
      <c r="E34" s="726" t="s">
        <v>381</v>
      </c>
      <c r="F34" s="725">
        <v>21000000</v>
      </c>
      <c r="G34" s="564">
        <v>3.95</v>
      </c>
      <c r="H34" s="493">
        <f t="shared" si="0"/>
        <v>829500</v>
      </c>
      <c r="I34" s="863"/>
      <c r="J34" s="617"/>
      <c r="K34" s="850" t="s">
        <v>437</v>
      </c>
      <c r="L34" s="608"/>
      <c r="R34" s="613"/>
      <c r="S34" s="613"/>
      <c r="T34" s="613"/>
      <c r="U34" s="613"/>
      <c r="V34" s="613"/>
    </row>
    <row r="35" spans="1:22" s="612" customFormat="1" ht="21" customHeight="1" x14ac:dyDescent="0.25">
      <c r="B35" s="511" t="s">
        <v>461</v>
      </c>
      <c r="C35" s="849">
        <v>44260</v>
      </c>
      <c r="D35" s="849">
        <v>47547</v>
      </c>
      <c r="E35" s="516" t="s">
        <v>462</v>
      </c>
      <c r="F35" s="521">
        <v>25000000</v>
      </c>
      <c r="G35" s="412">
        <v>3</v>
      </c>
      <c r="H35" s="493">
        <f t="shared" si="0"/>
        <v>750000</v>
      </c>
      <c r="I35" s="522"/>
      <c r="J35" s="523"/>
      <c r="K35" s="850" t="s">
        <v>437</v>
      </c>
      <c r="L35" s="610" t="s">
        <v>463</v>
      </c>
      <c r="R35" s="613"/>
      <c r="S35" s="613"/>
      <c r="T35" s="613"/>
      <c r="U35" s="613"/>
      <c r="V35" s="613"/>
    </row>
    <row r="36" spans="1:22" s="612" customFormat="1" ht="21" customHeight="1" x14ac:dyDescent="0.25">
      <c r="B36" s="614" t="s">
        <v>464</v>
      </c>
      <c r="C36" s="820">
        <v>44676</v>
      </c>
      <c r="D36" s="820">
        <v>47596</v>
      </c>
      <c r="E36" s="726" t="s">
        <v>383</v>
      </c>
      <c r="F36" s="725">
        <v>20000000</v>
      </c>
      <c r="G36" s="564">
        <v>3.25</v>
      </c>
      <c r="H36" s="493">
        <f t="shared" si="0"/>
        <v>650000</v>
      </c>
      <c r="I36" s="863"/>
      <c r="J36" s="617"/>
      <c r="K36" s="850" t="s">
        <v>437</v>
      </c>
      <c r="L36" s="608" t="s">
        <v>459</v>
      </c>
      <c r="R36" s="613"/>
      <c r="S36" s="613"/>
      <c r="T36" s="613"/>
      <c r="U36" s="613"/>
      <c r="V36" s="613"/>
    </row>
    <row r="37" spans="1:22" s="855" customFormat="1" ht="21" customHeight="1" x14ac:dyDescent="0.25">
      <c r="B37" s="730" t="s">
        <v>566</v>
      </c>
      <c r="C37" s="856">
        <v>44799</v>
      </c>
      <c r="D37" s="856">
        <v>47721</v>
      </c>
      <c r="E37" s="724" t="s">
        <v>383</v>
      </c>
      <c r="F37" s="857">
        <v>2162267.63</v>
      </c>
      <c r="G37" s="561">
        <v>4.5</v>
      </c>
      <c r="H37" s="493">
        <f t="shared" si="0"/>
        <v>97302.04</v>
      </c>
      <c r="I37" s="858"/>
      <c r="J37" s="804"/>
      <c r="K37" s="850" t="s">
        <v>437</v>
      </c>
      <c r="L37" s="860"/>
      <c r="R37" s="861"/>
      <c r="S37" s="861"/>
      <c r="T37" s="861"/>
      <c r="U37" s="861"/>
      <c r="V37" s="861"/>
    </row>
    <row r="38" spans="1:22" s="609" customFormat="1" ht="21" customHeight="1" x14ac:dyDescent="0.25">
      <c r="B38" s="614" t="s">
        <v>465</v>
      </c>
      <c r="C38" s="820">
        <v>44676</v>
      </c>
      <c r="D38" s="820">
        <v>47961</v>
      </c>
      <c r="E38" s="726" t="s">
        <v>462</v>
      </c>
      <c r="F38" s="725">
        <v>8500000</v>
      </c>
      <c r="G38" s="564">
        <v>3.375</v>
      </c>
      <c r="H38" s="493">
        <f t="shared" si="0"/>
        <v>286875</v>
      </c>
      <c r="I38" s="863"/>
      <c r="J38" s="617"/>
      <c r="K38" s="850" t="s">
        <v>437</v>
      </c>
      <c r="L38" s="610" t="s">
        <v>459</v>
      </c>
      <c r="R38" s="611"/>
      <c r="S38" s="611"/>
      <c r="T38" s="611"/>
      <c r="U38" s="611"/>
      <c r="V38" s="611"/>
    </row>
    <row r="39" spans="1:22" s="365" customFormat="1" ht="21" customHeight="1" x14ac:dyDescent="0.25">
      <c r="B39" s="639" t="s">
        <v>423</v>
      </c>
      <c r="C39" s="528"/>
      <c r="D39" s="528"/>
      <c r="E39" s="534"/>
      <c r="F39" s="373">
        <f>SUM(F40:F41)</f>
        <v>63000000</v>
      </c>
      <c r="G39" s="367"/>
      <c r="H39" s="851">
        <f>SUM(H18:H38)</f>
        <v>14664198.24</v>
      </c>
      <c r="I39" s="852">
        <f>H39/F17</f>
        <v>4.1799999999999997E-2</v>
      </c>
      <c r="J39" s="368"/>
      <c r="K39" s="839"/>
      <c r="R39" s="353"/>
      <c r="S39" s="353"/>
      <c r="T39" s="353"/>
      <c r="U39" s="353"/>
      <c r="V39" s="353"/>
    </row>
    <row r="40" spans="1:22" s="365" customFormat="1" ht="21" customHeight="1" x14ac:dyDescent="0.25">
      <c r="A40" s="519"/>
      <c r="B40" s="864">
        <v>50401000670</v>
      </c>
      <c r="C40" s="408">
        <v>44802</v>
      </c>
      <c r="D40" s="408">
        <v>46262</v>
      </c>
      <c r="E40" s="622" t="s">
        <v>408</v>
      </c>
      <c r="F40" s="854">
        <v>31500000</v>
      </c>
      <c r="G40" s="404">
        <v>4.7</v>
      </c>
      <c r="H40" s="493">
        <f t="shared" si="0"/>
        <v>1480500</v>
      </c>
      <c r="I40" s="496"/>
      <c r="J40" s="497"/>
      <c r="K40" s="850" t="s">
        <v>437</v>
      </c>
      <c r="R40" s="353"/>
      <c r="S40" s="353"/>
      <c r="T40" s="353"/>
      <c r="U40" s="353"/>
      <c r="V40" s="353"/>
    </row>
    <row r="41" spans="1:22" s="365" customFormat="1" ht="21" customHeight="1" x14ac:dyDescent="0.25">
      <c r="A41" s="519"/>
      <c r="B41" s="864">
        <v>50401000686</v>
      </c>
      <c r="C41" s="408">
        <v>44802</v>
      </c>
      <c r="D41" s="408">
        <v>46627</v>
      </c>
      <c r="E41" s="622" t="s">
        <v>376</v>
      </c>
      <c r="F41" s="854">
        <v>31500000</v>
      </c>
      <c r="G41" s="404">
        <v>4.8</v>
      </c>
      <c r="H41" s="493">
        <f t="shared" si="0"/>
        <v>1512000</v>
      </c>
      <c r="I41" s="496"/>
      <c r="J41" s="497"/>
      <c r="K41" s="850" t="s">
        <v>437</v>
      </c>
      <c r="R41" s="353"/>
      <c r="S41" s="353"/>
      <c r="T41" s="353"/>
      <c r="U41" s="353"/>
      <c r="V41" s="353"/>
    </row>
    <row r="42" spans="1:22" s="365" customFormat="1" ht="21" customHeight="1" x14ac:dyDescent="0.25">
      <c r="B42" s="639" t="s">
        <v>567</v>
      </c>
      <c r="C42" s="528"/>
      <c r="D42" s="528"/>
      <c r="E42" s="534"/>
      <c r="F42" s="373">
        <f>SUM(F43:F45)</f>
        <v>63000000</v>
      </c>
      <c r="G42" s="367"/>
      <c r="H42" s="493"/>
      <c r="I42" s="525"/>
      <c r="J42" s="368"/>
      <c r="K42" s="839"/>
      <c r="R42" s="353"/>
      <c r="S42" s="353"/>
      <c r="T42" s="353"/>
      <c r="U42" s="353"/>
      <c r="V42" s="353"/>
    </row>
    <row r="43" spans="1:22" s="365" customFormat="1" ht="21" customHeight="1" x14ac:dyDescent="0.25">
      <c r="A43" s="519"/>
      <c r="B43" s="511">
        <v>130020000610160</v>
      </c>
      <c r="C43" s="849">
        <v>44803</v>
      </c>
      <c r="D43" s="849">
        <v>45898</v>
      </c>
      <c r="E43" s="516" t="s">
        <v>477</v>
      </c>
      <c r="F43" s="521">
        <v>21000000</v>
      </c>
      <c r="G43" s="865">
        <v>4.0999999999999996</v>
      </c>
      <c r="H43" s="493">
        <f t="shared" si="0"/>
        <v>861000</v>
      </c>
      <c r="I43" s="866"/>
      <c r="J43" s="867"/>
      <c r="K43" s="850" t="s">
        <v>437</v>
      </c>
      <c r="R43" s="353"/>
      <c r="S43" s="353"/>
      <c r="T43" s="353"/>
      <c r="U43" s="353"/>
      <c r="V43" s="353"/>
    </row>
    <row r="44" spans="1:22" s="365" customFormat="1" ht="21" customHeight="1" x14ac:dyDescent="0.25">
      <c r="A44" s="519"/>
      <c r="B44" s="511">
        <v>130020000610112</v>
      </c>
      <c r="C44" s="849">
        <v>44803</v>
      </c>
      <c r="D44" s="849">
        <v>46265</v>
      </c>
      <c r="E44" s="516" t="s">
        <v>408</v>
      </c>
      <c r="F44" s="521">
        <v>21000000</v>
      </c>
      <c r="G44" s="865">
        <v>4.5</v>
      </c>
      <c r="H44" s="493">
        <f t="shared" si="0"/>
        <v>945000</v>
      </c>
      <c r="I44" s="866"/>
      <c r="J44" s="867"/>
      <c r="K44" s="850" t="s">
        <v>437</v>
      </c>
      <c r="R44" s="353"/>
      <c r="S44" s="353"/>
      <c r="T44" s="353"/>
      <c r="U44" s="353"/>
      <c r="V44" s="353"/>
    </row>
    <row r="45" spans="1:22" s="365" customFormat="1" ht="21" customHeight="1" x14ac:dyDescent="0.25">
      <c r="A45" s="519"/>
      <c r="B45" s="511">
        <v>130020000610110</v>
      </c>
      <c r="C45" s="849">
        <v>44803</v>
      </c>
      <c r="D45" s="849">
        <v>46629</v>
      </c>
      <c r="E45" s="516" t="s">
        <v>376</v>
      </c>
      <c r="F45" s="521">
        <v>21000000</v>
      </c>
      <c r="G45" s="865">
        <v>5</v>
      </c>
      <c r="H45" s="493">
        <f t="shared" si="0"/>
        <v>1050000</v>
      </c>
      <c r="I45" s="866"/>
      <c r="J45" s="867"/>
      <c r="K45" s="850" t="s">
        <v>437</v>
      </c>
      <c r="R45" s="353"/>
      <c r="S45" s="353"/>
      <c r="T45" s="353"/>
      <c r="U45" s="353"/>
      <c r="V45" s="353"/>
    </row>
    <row r="46" spans="1:22" s="365" customFormat="1" ht="21" customHeight="1" x14ac:dyDescent="0.25">
      <c r="A46" s="519"/>
      <c r="B46" s="639" t="s">
        <v>568</v>
      </c>
      <c r="C46" s="528"/>
      <c r="D46" s="528"/>
      <c r="E46" s="534"/>
      <c r="F46" s="373">
        <f>F47</f>
        <v>31500000</v>
      </c>
      <c r="G46" s="367"/>
      <c r="H46" s="493"/>
      <c r="I46" s="525"/>
      <c r="J46" s="368"/>
      <c r="K46" s="839"/>
      <c r="R46" s="353"/>
      <c r="S46" s="353"/>
      <c r="T46" s="353"/>
      <c r="U46" s="353"/>
      <c r="V46" s="353"/>
    </row>
    <row r="47" spans="1:22" s="365" customFormat="1" ht="21" customHeight="1" x14ac:dyDescent="0.25">
      <c r="A47" s="519"/>
      <c r="B47" s="414">
        <v>258906338</v>
      </c>
      <c r="C47" s="408">
        <v>44777</v>
      </c>
      <c r="D47" s="408">
        <v>45873</v>
      </c>
      <c r="E47" s="408" t="s">
        <v>381</v>
      </c>
      <c r="F47" s="854">
        <v>31500000</v>
      </c>
      <c r="G47" s="404">
        <v>5.25</v>
      </c>
      <c r="H47" s="493">
        <f t="shared" si="0"/>
        <v>1653750</v>
      </c>
      <c r="I47" s="496"/>
      <c r="J47" s="497"/>
      <c r="K47" s="850" t="s">
        <v>375</v>
      </c>
      <c r="R47" s="353"/>
      <c r="S47" s="353"/>
      <c r="T47" s="353"/>
      <c r="U47" s="353"/>
      <c r="V47" s="353"/>
    </row>
    <row r="48" spans="1:22" s="365" customFormat="1" ht="21" customHeight="1" x14ac:dyDescent="0.25">
      <c r="B48" s="588" t="s">
        <v>284</v>
      </c>
      <c r="C48" s="534"/>
      <c r="D48" s="534"/>
      <c r="E48" s="534"/>
      <c r="F48" s="373">
        <f>SUM(F49)+F61+F87+F57+F91+F95</f>
        <v>1179695551.5</v>
      </c>
      <c r="G48" s="367"/>
      <c r="H48" s="851">
        <f>SUM(H40:H47)</f>
        <v>7502250</v>
      </c>
      <c r="I48" s="852">
        <f>H48/J48</f>
        <v>4.7600000000000003E-2</v>
      </c>
      <c r="J48" s="368">
        <f>F40+F41+F43+F44+F45+F47</f>
        <v>157500000</v>
      </c>
      <c r="K48" s="839"/>
      <c r="M48" s="589"/>
      <c r="R48" s="353"/>
      <c r="S48" s="353"/>
      <c r="T48" s="353"/>
      <c r="U48" s="353"/>
      <c r="V48" s="353"/>
    </row>
    <row r="49" spans="1:22" s="370" customFormat="1" ht="21" customHeight="1" x14ac:dyDescent="0.25">
      <c r="A49" s="365"/>
      <c r="B49" s="620" t="s">
        <v>372</v>
      </c>
      <c r="C49" s="534"/>
      <c r="D49" s="534"/>
      <c r="E49" s="423"/>
      <c r="F49" s="621">
        <f>SUM(F50:F55)</f>
        <v>233651365.22</v>
      </c>
      <c r="G49" s="425"/>
      <c r="H49" s="493"/>
      <c r="I49" s="525"/>
      <c r="J49" s="368">
        <f>F39+F42+F46</f>
        <v>157500000</v>
      </c>
      <c r="K49" s="839"/>
      <c r="L49" s="365"/>
      <c r="M49" s="365"/>
      <c r="R49" s="374"/>
      <c r="S49" s="374"/>
      <c r="T49" s="374"/>
      <c r="U49" s="374"/>
      <c r="V49" s="374"/>
    </row>
    <row r="50" spans="1:22" s="840" customFormat="1" ht="20.25" customHeight="1" x14ac:dyDescent="0.25">
      <c r="B50" s="487">
        <v>150000127101</v>
      </c>
      <c r="C50" s="841">
        <v>44834</v>
      </c>
      <c r="D50" s="842">
        <v>44837</v>
      </c>
      <c r="E50" s="843" t="s">
        <v>562</v>
      </c>
      <c r="F50" s="710"/>
      <c r="G50" s="492">
        <v>1.1000000000000001</v>
      </c>
      <c r="H50" s="493">
        <f t="shared" si="0"/>
        <v>0</v>
      </c>
      <c r="I50" s="494"/>
      <c r="J50" s="493"/>
      <c r="K50" s="868" t="s">
        <v>375</v>
      </c>
      <c r="L50" s="845" t="s">
        <v>563</v>
      </c>
      <c r="R50" s="846"/>
      <c r="S50" s="846"/>
      <c r="T50" s="846"/>
      <c r="U50" s="846"/>
      <c r="V50" s="846"/>
    </row>
    <row r="51" spans="1:22" s="840" customFormat="1" ht="20.25" customHeight="1" x14ac:dyDescent="0.25">
      <c r="B51" s="487">
        <v>150000127110</v>
      </c>
      <c r="C51" s="841">
        <v>44834</v>
      </c>
      <c r="D51" s="842">
        <v>44837</v>
      </c>
      <c r="E51" s="843" t="s">
        <v>562</v>
      </c>
      <c r="F51" s="710"/>
      <c r="G51" s="492">
        <v>1.1000000000000001</v>
      </c>
      <c r="H51" s="493">
        <f t="shared" si="0"/>
        <v>0</v>
      </c>
      <c r="I51" s="494"/>
      <c r="J51" s="493"/>
      <c r="K51" s="868" t="s">
        <v>375</v>
      </c>
      <c r="L51" s="845" t="s">
        <v>563</v>
      </c>
      <c r="R51" s="846"/>
      <c r="S51" s="846"/>
      <c r="T51" s="846"/>
      <c r="U51" s="846"/>
      <c r="V51" s="846"/>
    </row>
    <row r="52" spans="1:22" s="840" customFormat="1" ht="20.25" customHeight="1" x14ac:dyDescent="0.25">
      <c r="B52" s="487">
        <v>150000127148</v>
      </c>
      <c r="C52" s="841">
        <v>44834</v>
      </c>
      <c r="D52" s="842">
        <v>44837</v>
      </c>
      <c r="E52" s="843" t="s">
        <v>562</v>
      </c>
      <c r="F52" s="710"/>
      <c r="G52" s="492">
        <v>1.1000000000000001</v>
      </c>
      <c r="H52" s="493">
        <f t="shared" si="0"/>
        <v>0</v>
      </c>
      <c r="I52" s="494"/>
      <c r="J52" s="493"/>
      <c r="K52" s="868" t="s">
        <v>437</v>
      </c>
      <c r="L52" s="869" t="s">
        <v>563</v>
      </c>
      <c r="R52" s="846"/>
      <c r="S52" s="846"/>
      <c r="T52" s="846"/>
      <c r="U52" s="846"/>
      <c r="V52" s="846"/>
    </row>
    <row r="53" spans="1:22" s="520" customFormat="1" ht="21" customHeight="1" x14ac:dyDescent="0.25">
      <c r="B53" s="399">
        <v>110000058124</v>
      </c>
      <c r="C53" s="516">
        <v>43150</v>
      </c>
      <c r="D53" s="516">
        <v>45707</v>
      </c>
      <c r="E53" s="516" t="s">
        <v>381</v>
      </c>
      <c r="F53" s="521">
        <v>19953269.760000002</v>
      </c>
      <c r="G53" s="412">
        <v>3.15</v>
      </c>
      <c r="H53" s="493">
        <f t="shared" si="0"/>
        <v>628528</v>
      </c>
      <c r="I53" s="522"/>
      <c r="J53" s="523"/>
      <c r="K53" s="850" t="s">
        <v>375</v>
      </c>
      <c r="L53" s="405" t="s">
        <v>466</v>
      </c>
      <c r="R53" s="524"/>
      <c r="S53" s="524"/>
      <c r="T53" s="524"/>
      <c r="U53" s="524"/>
      <c r="V53" s="524"/>
    </row>
    <row r="54" spans="1:22" s="370" customFormat="1" ht="21" customHeight="1" x14ac:dyDescent="0.25">
      <c r="A54" s="365"/>
      <c r="B54" s="511">
        <v>110000053342</v>
      </c>
      <c r="C54" s="408">
        <v>42916</v>
      </c>
      <c r="D54" s="408">
        <v>45838</v>
      </c>
      <c r="E54" s="516" t="s">
        <v>383</v>
      </c>
      <c r="F54" s="521">
        <v>144492578.03999999</v>
      </c>
      <c r="G54" s="502">
        <v>3.25</v>
      </c>
      <c r="H54" s="493">
        <f t="shared" si="0"/>
        <v>4696008.79</v>
      </c>
      <c r="I54" s="503"/>
      <c r="J54" s="504"/>
      <c r="K54" s="850" t="s">
        <v>375</v>
      </c>
      <c r="L54" s="365" t="s">
        <v>467</v>
      </c>
      <c r="M54" s="365"/>
      <c r="R54" s="374"/>
      <c r="S54" s="374"/>
      <c r="T54" s="374"/>
      <c r="U54" s="374"/>
      <c r="V54" s="374"/>
    </row>
    <row r="55" spans="1:22" s="370" customFormat="1" ht="21" customHeight="1" x14ac:dyDescent="0.25">
      <c r="A55" s="365"/>
      <c r="B55" s="414">
        <v>110000058590</v>
      </c>
      <c r="C55" s="408" t="s">
        <v>398</v>
      </c>
      <c r="D55" s="408" t="s">
        <v>399</v>
      </c>
      <c r="E55" s="408" t="s">
        <v>383</v>
      </c>
      <c r="F55" s="521">
        <v>69205517.420000002</v>
      </c>
      <c r="G55" s="404">
        <v>3.3</v>
      </c>
      <c r="H55" s="493">
        <f t="shared" si="0"/>
        <v>2283782.0699999998</v>
      </c>
      <c r="I55" s="496"/>
      <c r="J55" s="497"/>
      <c r="K55" s="850" t="s">
        <v>375</v>
      </c>
      <c r="L55" s="365" t="s">
        <v>400</v>
      </c>
      <c r="M55" s="365"/>
      <c r="R55" s="374"/>
      <c r="S55" s="374"/>
      <c r="T55" s="374"/>
      <c r="U55" s="374"/>
      <c r="V55" s="374"/>
    </row>
    <row r="56" spans="1:22" s="365" customFormat="1" ht="21" customHeight="1" x14ac:dyDescent="0.25">
      <c r="B56" s="623" t="s">
        <v>468</v>
      </c>
      <c r="C56" s="534"/>
      <c r="D56" s="534"/>
      <c r="E56" s="534"/>
      <c r="F56" s="373"/>
      <c r="G56" s="367"/>
      <c r="H56" s="493"/>
      <c r="I56" s="525"/>
      <c r="J56" s="368"/>
      <c r="K56" s="839"/>
      <c r="M56" s="589"/>
      <c r="R56" s="353"/>
      <c r="S56" s="353"/>
      <c r="T56" s="353"/>
      <c r="U56" s="353"/>
      <c r="V56" s="353"/>
    </row>
    <row r="57" spans="1:22" s="370" customFormat="1" ht="21" customHeight="1" x14ac:dyDescent="0.25">
      <c r="A57" s="365"/>
      <c r="B57" s="620" t="s">
        <v>372</v>
      </c>
      <c r="C57" s="534"/>
      <c r="D57" s="534"/>
      <c r="E57" s="534"/>
      <c r="F57" s="373">
        <f>SUM(F58:F60)</f>
        <v>68411000</v>
      </c>
      <c r="G57" s="367"/>
      <c r="H57" s="493"/>
      <c r="I57" s="525"/>
      <c r="J57" s="368"/>
      <c r="K57" s="839"/>
      <c r="L57" s="365"/>
      <c r="M57" s="365"/>
      <c r="R57" s="374"/>
      <c r="S57" s="374"/>
      <c r="T57" s="374"/>
      <c r="U57" s="374"/>
      <c r="V57" s="374"/>
    </row>
    <row r="58" spans="1:22" s="634" customFormat="1" ht="21" customHeight="1" x14ac:dyDescent="0.25">
      <c r="A58" s="624"/>
      <c r="B58" s="636">
        <v>110000082881</v>
      </c>
      <c r="C58" s="628">
        <v>44820</v>
      </c>
      <c r="D58" s="628">
        <v>44910</v>
      </c>
      <c r="E58" s="628" t="s">
        <v>470</v>
      </c>
      <c r="F58" s="629">
        <v>45500000</v>
      </c>
      <c r="G58" s="630">
        <v>2.25</v>
      </c>
      <c r="H58" s="493">
        <f t="shared" si="0"/>
        <v>1023750</v>
      </c>
      <c r="I58" s="631"/>
      <c r="J58" s="637"/>
      <c r="K58" s="870" t="s">
        <v>569</v>
      </c>
      <c r="L58" s="633"/>
      <c r="M58" s="624"/>
      <c r="R58" s="635"/>
      <c r="S58" s="635"/>
      <c r="T58" s="635"/>
      <c r="U58" s="635"/>
      <c r="V58" s="635"/>
    </row>
    <row r="59" spans="1:22" s="634" customFormat="1" ht="21" customHeight="1" x14ac:dyDescent="0.25">
      <c r="A59" s="624"/>
      <c r="B59" s="636">
        <v>110000082890</v>
      </c>
      <c r="C59" s="628">
        <v>44820</v>
      </c>
      <c r="D59" s="628">
        <v>44910</v>
      </c>
      <c r="E59" s="628" t="s">
        <v>470</v>
      </c>
      <c r="F59" s="629">
        <v>22500000</v>
      </c>
      <c r="G59" s="630">
        <v>2.25</v>
      </c>
      <c r="H59" s="493">
        <f t="shared" si="0"/>
        <v>506250</v>
      </c>
      <c r="I59" s="631"/>
      <c r="J59" s="637"/>
      <c r="K59" s="870" t="s">
        <v>570</v>
      </c>
      <c r="L59" s="633"/>
      <c r="M59" s="624"/>
      <c r="R59" s="635"/>
      <c r="S59" s="635"/>
      <c r="T59" s="635"/>
      <c r="U59" s="635"/>
      <c r="V59" s="635"/>
    </row>
    <row r="60" spans="1:22" s="634" customFormat="1" ht="21" customHeight="1" x14ac:dyDescent="0.25">
      <c r="A60" s="624"/>
      <c r="B60" s="636">
        <v>110000082907</v>
      </c>
      <c r="C60" s="628">
        <v>44820</v>
      </c>
      <c r="D60" s="628">
        <v>44910</v>
      </c>
      <c r="E60" s="628" t="s">
        <v>470</v>
      </c>
      <c r="F60" s="629">
        <v>411000</v>
      </c>
      <c r="G60" s="630">
        <v>2.25</v>
      </c>
      <c r="H60" s="493">
        <f t="shared" si="0"/>
        <v>9247.5</v>
      </c>
      <c r="I60" s="631"/>
      <c r="J60" s="637"/>
      <c r="K60" s="870" t="s">
        <v>571</v>
      </c>
      <c r="L60" s="633"/>
      <c r="M60" s="624"/>
      <c r="R60" s="635"/>
      <c r="S60" s="635"/>
      <c r="T60" s="635"/>
      <c r="U60" s="635"/>
      <c r="V60" s="635"/>
    </row>
    <row r="61" spans="1:22" s="365" customFormat="1" ht="21" customHeight="1" x14ac:dyDescent="0.25">
      <c r="A61" s="638"/>
      <c r="B61" s="639" t="s">
        <v>401</v>
      </c>
      <c r="C61" s="528"/>
      <c r="D61" s="528"/>
      <c r="E61" s="534"/>
      <c r="F61" s="373">
        <f>SUM(F62:F86)</f>
        <v>586851593.26999998</v>
      </c>
      <c r="G61" s="367"/>
      <c r="H61" s="851">
        <f>SUM(H53:H60)</f>
        <v>9147566.3599999994</v>
      </c>
      <c r="I61" s="852">
        <f>H61/J61</f>
        <v>3.0300000000000001E-2</v>
      </c>
      <c r="J61" s="368">
        <f>F49+F57</f>
        <v>302062365.22000003</v>
      </c>
      <c r="K61" s="839"/>
      <c r="R61" s="353"/>
      <c r="S61" s="353"/>
      <c r="T61" s="353"/>
      <c r="U61" s="353"/>
      <c r="V61" s="353"/>
    </row>
    <row r="62" spans="1:22" s="365" customFormat="1" ht="21" customHeight="1" x14ac:dyDescent="0.25">
      <c r="B62" s="511" t="s">
        <v>474</v>
      </c>
      <c r="C62" s="849">
        <v>42431</v>
      </c>
      <c r="D62" s="849">
        <v>44986</v>
      </c>
      <c r="E62" s="516" t="s">
        <v>381</v>
      </c>
      <c r="F62" s="521">
        <v>501737.97</v>
      </c>
      <c r="G62" s="412">
        <v>4.8125</v>
      </c>
      <c r="H62" s="493">
        <f t="shared" si="0"/>
        <v>24146.14</v>
      </c>
      <c r="I62" s="522"/>
      <c r="J62" s="523"/>
      <c r="K62" s="850" t="s">
        <v>375</v>
      </c>
      <c r="R62" s="353"/>
      <c r="S62" s="353"/>
      <c r="T62" s="353"/>
      <c r="U62" s="353"/>
      <c r="V62" s="353"/>
    </row>
    <row r="63" spans="1:22" s="365" customFormat="1" ht="21" customHeight="1" x14ac:dyDescent="0.25">
      <c r="B63" s="644" t="s">
        <v>572</v>
      </c>
      <c r="C63" s="871">
        <v>44834</v>
      </c>
      <c r="D63" s="871">
        <v>47756</v>
      </c>
      <c r="E63" s="872" t="s">
        <v>383</v>
      </c>
      <c r="F63" s="873">
        <v>2936100</v>
      </c>
      <c r="G63" s="874">
        <v>4.125</v>
      </c>
      <c r="H63" s="493">
        <f t="shared" si="0"/>
        <v>121114.13</v>
      </c>
      <c r="I63" s="875"/>
      <c r="J63" s="876"/>
      <c r="K63" s="868" t="s">
        <v>437</v>
      </c>
      <c r="R63" s="353"/>
      <c r="S63" s="353"/>
      <c r="T63" s="353"/>
      <c r="U63" s="353"/>
      <c r="V63" s="353"/>
    </row>
    <row r="64" spans="1:22" s="370" customFormat="1" ht="21" customHeight="1" x14ac:dyDescent="0.25">
      <c r="A64" s="365"/>
      <c r="B64" s="511" t="s">
        <v>475</v>
      </c>
      <c r="C64" s="849">
        <v>42599</v>
      </c>
      <c r="D64" s="849">
        <v>45155</v>
      </c>
      <c r="E64" s="516" t="s">
        <v>381</v>
      </c>
      <c r="F64" s="521">
        <v>22277530.09</v>
      </c>
      <c r="G64" s="412">
        <v>4.8</v>
      </c>
      <c r="H64" s="493">
        <f t="shared" si="0"/>
        <v>1069321.44</v>
      </c>
      <c r="I64" s="522"/>
      <c r="J64" s="523"/>
      <c r="K64" s="850" t="s">
        <v>375</v>
      </c>
      <c r="L64" s="365"/>
      <c r="M64" s="365"/>
      <c r="R64" s="374"/>
      <c r="S64" s="374"/>
      <c r="T64" s="374"/>
      <c r="U64" s="374"/>
      <c r="V64" s="374"/>
    </row>
    <row r="65" spans="1:22" s="641" customFormat="1" ht="21" customHeight="1" x14ac:dyDescent="0.25">
      <c r="A65" s="640"/>
      <c r="B65" s="511" t="s">
        <v>476</v>
      </c>
      <c r="C65" s="849">
        <v>44075</v>
      </c>
      <c r="D65" s="849">
        <v>45168</v>
      </c>
      <c r="E65" s="516" t="s">
        <v>477</v>
      </c>
      <c r="F65" s="521">
        <v>333183.59999999998</v>
      </c>
      <c r="G65" s="412">
        <v>3</v>
      </c>
      <c r="H65" s="493">
        <f t="shared" si="0"/>
        <v>9995.51</v>
      </c>
      <c r="I65" s="522"/>
      <c r="J65" s="523"/>
      <c r="K65" s="850" t="s">
        <v>375</v>
      </c>
      <c r="L65" s="640"/>
      <c r="M65" s="640"/>
      <c r="R65" s="642"/>
      <c r="S65" s="642"/>
      <c r="T65" s="642"/>
      <c r="U65" s="642"/>
      <c r="V65" s="642"/>
    </row>
    <row r="66" spans="1:22" s="520" customFormat="1" ht="21" customHeight="1" x14ac:dyDescent="0.25">
      <c r="B66" s="415" t="s">
        <v>478</v>
      </c>
      <c r="C66" s="853">
        <v>42277</v>
      </c>
      <c r="D66" s="853">
        <v>45197</v>
      </c>
      <c r="E66" s="408" t="s">
        <v>383</v>
      </c>
      <c r="F66" s="854">
        <v>19194586.809999999</v>
      </c>
      <c r="G66" s="404">
        <v>4.9000000000000004</v>
      </c>
      <c r="H66" s="493">
        <f t="shared" si="0"/>
        <v>940534.75</v>
      </c>
      <c r="I66" s="496"/>
      <c r="J66" s="497"/>
      <c r="K66" s="850" t="s">
        <v>375</v>
      </c>
      <c r="L66" s="365"/>
      <c r="M66" s="337"/>
      <c r="R66" s="524"/>
      <c r="S66" s="524"/>
      <c r="T66" s="524"/>
      <c r="U66" s="524"/>
      <c r="V66" s="524"/>
    </row>
    <row r="67" spans="1:22" s="365" customFormat="1" ht="21" customHeight="1" x14ac:dyDescent="0.25">
      <c r="B67" s="511" t="s">
        <v>415</v>
      </c>
      <c r="C67" s="849">
        <v>43318</v>
      </c>
      <c r="D67" s="849">
        <v>45509</v>
      </c>
      <c r="E67" s="516" t="s">
        <v>379</v>
      </c>
      <c r="F67" s="521">
        <v>36000000</v>
      </c>
      <c r="G67" s="404">
        <v>4.875</v>
      </c>
      <c r="H67" s="493">
        <f t="shared" si="0"/>
        <v>1755000</v>
      </c>
      <c r="I67" s="496"/>
      <c r="J67" s="497"/>
      <c r="K67" s="850" t="s">
        <v>375</v>
      </c>
      <c r="L67" s="365" t="s">
        <v>472</v>
      </c>
      <c r="R67" s="353"/>
      <c r="S67" s="353"/>
      <c r="T67" s="353"/>
      <c r="U67" s="353"/>
      <c r="V67" s="353"/>
    </row>
    <row r="68" spans="1:22" s="520" customFormat="1" ht="21" customHeight="1" x14ac:dyDescent="0.25">
      <c r="B68" s="511" t="s">
        <v>479</v>
      </c>
      <c r="C68" s="849">
        <v>43340</v>
      </c>
      <c r="D68" s="516">
        <v>45530</v>
      </c>
      <c r="E68" s="516" t="s">
        <v>379</v>
      </c>
      <c r="F68" s="521">
        <v>10971068.67</v>
      </c>
      <c r="G68" s="412">
        <v>4.875</v>
      </c>
      <c r="H68" s="493">
        <f t="shared" si="0"/>
        <v>534839.6</v>
      </c>
      <c r="I68" s="522"/>
      <c r="J68" s="523"/>
      <c r="K68" s="850" t="s">
        <v>375</v>
      </c>
      <c r="L68" s="365" t="s">
        <v>480</v>
      </c>
      <c r="Q68" s="524"/>
      <c r="R68" s="524"/>
      <c r="S68" s="524"/>
      <c r="T68" s="524"/>
      <c r="U68" s="524"/>
    </row>
    <row r="69" spans="1:22" s="370" customFormat="1" ht="21" customHeight="1" x14ac:dyDescent="0.25">
      <c r="A69" s="365"/>
      <c r="B69" s="511" t="s">
        <v>481</v>
      </c>
      <c r="C69" s="849">
        <v>43017</v>
      </c>
      <c r="D69" s="516">
        <v>45574</v>
      </c>
      <c r="E69" s="516" t="s">
        <v>381</v>
      </c>
      <c r="F69" s="521">
        <v>15764183.26</v>
      </c>
      <c r="G69" s="404">
        <v>4.5</v>
      </c>
      <c r="H69" s="493">
        <f t="shared" si="0"/>
        <v>709388.25</v>
      </c>
      <c r="I69" s="496"/>
      <c r="J69" s="497"/>
      <c r="K69" s="850" t="s">
        <v>375</v>
      </c>
      <c r="L69" s="365"/>
      <c r="M69" s="365"/>
      <c r="R69" s="374"/>
      <c r="S69" s="374"/>
      <c r="T69" s="374"/>
      <c r="U69" s="374"/>
      <c r="V69" s="374"/>
    </row>
    <row r="70" spans="1:22" s="370" customFormat="1" ht="21" customHeight="1" x14ac:dyDescent="0.25">
      <c r="A70" s="365"/>
      <c r="B70" s="511" t="s">
        <v>418</v>
      </c>
      <c r="C70" s="849">
        <v>43815</v>
      </c>
      <c r="D70" s="516">
        <v>45642</v>
      </c>
      <c r="E70" s="516" t="s">
        <v>376</v>
      </c>
      <c r="F70" s="521">
        <v>22144243.620000001</v>
      </c>
      <c r="G70" s="404">
        <v>4</v>
      </c>
      <c r="H70" s="493">
        <f t="shared" si="0"/>
        <v>885769.74</v>
      </c>
      <c r="I70" s="496"/>
      <c r="J70" s="497"/>
      <c r="K70" s="850" t="s">
        <v>375</v>
      </c>
      <c r="L70" s="365" t="s">
        <v>409</v>
      </c>
      <c r="M70" s="365"/>
      <c r="R70" s="374"/>
      <c r="S70" s="374"/>
      <c r="T70" s="374"/>
      <c r="U70" s="374"/>
      <c r="V70" s="374"/>
    </row>
    <row r="71" spans="1:22" s="370" customFormat="1" ht="21" customHeight="1" x14ac:dyDescent="0.25">
      <c r="A71" s="365"/>
      <c r="B71" s="511" t="s">
        <v>482</v>
      </c>
      <c r="C71" s="849">
        <v>43511</v>
      </c>
      <c r="D71" s="516">
        <v>45702</v>
      </c>
      <c r="E71" s="516" t="s">
        <v>379</v>
      </c>
      <c r="F71" s="521">
        <v>1181712.93</v>
      </c>
      <c r="G71" s="404">
        <v>5</v>
      </c>
      <c r="H71" s="493">
        <f t="shared" si="0"/>
        <v>59085.65</v>
      </c>
      <c r="I71" s="496"/>
      <c r="J71" s="497"/>
      <c r="K71" s="850" t="s">
        <v>375</v>
      </c>
      <c r="L71" s="365"/>
      <c r="M71" s="365"/>
      <c r="R71" s="374"/>
      <c r="S71" s="374"/>
      <c r="T71" s="374"/>
      <c r="U71" s="374"/>
      <c r="V71" s="374"/>
    </row>
    <row r="72" spans="1:22" s="370" customFormat="1" ht="21" customHeight="1" x14ac:dyDescent="0.25">
      <c r="A72" s="365"/>
      <c r="B72" s="511" t="s">
        <v>483</v>
      </c>
      <c r="C72" s="849">
        <v>43403</v>
      </c>
      <c r="D72" s="516">
        <v>45960</v>
      </c>
      <c r="E72" s="516" t="s">
        <v>381</v>
      </c>
      <c r="F72" s="521">
        <v>33443142.440000001</v>
      </c>
      <c r="G72" s="404">
        <v>5</v>
      </c>
      <c r="H72" s="493">
        <f t="shared" si="0"/>
        <v>1672157.12</v>
      </c>
      <c r="I72" s="496"/>
      <c r="J72" s="497"/>
      <c r="K72" s="850" t="s">
        <v>375</v>
      </c>
      <c r="L72" s="365"/>
      <c r="M72" s="365"/>
      <c r="R72" s="374"/>
      <c r="S72" s="374"/>
      <c r="T72" s="374"/>
      <c r="U72" s="374"/>
      <c r="V72" s="374"/>
    </row>
    <row r="73" spans="1:22" s="520" customFormat="1" ht="21" customHeight="1" x14ac:dyDescent="0.25">
      <c r="B73" s="643" t="s">
        <v>484</v>
      </c>
      <c r="C73" s="849">
        <v>43434</v>
      </c>
      <c r="D73" s="849">
        <v>45988</v>
      </c>
      <c r="E73" s="516" t="s">
        <v>381</v>
      </c>
      <c r="F73" s="521">
        <v>35450000</v>
      </c>
      <c r="G73" s="412">
        <v>5.125</v>
      </c>
      <c r="H73" s="493">
        <f t="shared" si="0"/>
        <v>1816812.5</v>
      </c>
      <c r="I73" s="522"/>
      <c r="J73" s="523"/>
      <c r="K73" s="850" t="s">
        <v>375</v>
      </c>
      <c r="L73" s="365"/>
      <c r="R73" s="524"/>
      <c r="S73" s="524"/>
      <c r="T73" s="524"/>
      <c r="U73" s="524"/>
      <c r="V73" s="524"/>
    </row>
    <row r="74" spans="1:22" s="520" customFormat="1" ht="21" customHeight="1" x14ac:dyDescent="0.25">
      <c r="B74" s="511" t="s">
        <v>485</v>
      </c>
      <c r="C74" s="849">
        <v>43815</v>
      </c>
      <c r="D74" s="516">
        <v>46006</v>
      </c>
      <c r="E74" s="516" t="s">
        <v>379</v>
      </c>
      <c r="F74" s="521">
        <v>25000000</v>
      </c>
      <c r="G74" s="412">
        <v>4.125</v>
      </c>
      <c r="H74" s="493">
        <f t="shared" si="0"/>
        <v>1031250</v>
      </c>
      <c r="I74" s="522"/>
      <c r="J74" s="523"/>
      <c r="K74" s="850" t="s">
        <v>375</v>
      </c>
      <c r="L74" s="365" t="s">
        <v>409</v>
      </c>
      <c r="R74" s="524"/>
      <c r="S74" s="524"/>
      <c r="T74" s="524"/>
      <c r="U74" s="524"/>
      <c r="V74" s="524"/>
    </row>
    <row r="75" spans="1:22" s="520" customFormat="1" ht="21" customHeight="1" x14ac:dyDescent="0.25">
      <c r="B75" s="511" t="s">
        <v>486</v>
      </c>
      <c r="C75" s="849">
        <v>43452</v>
      </c>
      <c r="D75" s="849">
        <v>46007</v>
      </c>
      <c r="E75" s="516" t="s">
        <v>381</v>
      </c>
      <c r="F75" s="521">
        <v>12389162.4</v>
      </c>
      <c r="G75" s="412">
        <v>5.125</v>
      </c>
      <c r="H75" s="493">
        <f t="shared" si="0"/>
        <v>634944.56999999995</v>
      </c>
      <c r="I75" s="522"/>
      <c r="J75" s="523"/>
      <c r="K75" s="850" t="s">
        <v>375</v>
      </c>
      <c r="L75" s="405" t="s">
        <v>453</v>
      </c>
      <c r="R75" s="524"/>
      <c r="S75" s="524"/>
      <c r="T75" s="524"/>
      <c r="U75" s="524"/>
      <c r="V75" s="524"/>
    </row>
    <row r="76" spans="1:22" s="520" customFormat="1" ht="21" customHeight="1" x14ac:dyDescent="0.25">
      <c r="B76" s="644" t="s">
        <v>487</v>
      </c>
      <c r="C76" s="871">
        <v>44075</v>
      </c>
      <c r="D76" s="872">
        <v>46264</v>
      </c>
      <c r="E76" s="872" t="s">
        <v>379</v>
      </c>
      <c r="F76" s="873">
        <v>50000000</v>
      </c>
      <c r="G76" s="649">
        <v>3.5</v>
      </c>
      <c r="H76" s="493">
        <f t="shared" si="0"/>
        <v>1750000</v>
      </c>
      <c r="I76" s="877"/>
      <c r="J76" s="650"/>
      <c r="K76" s="850" t="s">
        <v>375</v>
      </c>
      <c r="L76" s="365"/>
      <c r="R76" s="524"/>
      <c r="S76" s="524"/>
      <c r="T76" s="524"/>
      <c r="U76" s="524"/>
      <c r="V76" s="524"/>
    </row>
    <row r="77" spans="1:22" s="520" customFormat="1" ht="21" customHeight="1" x14ac:dyDescent="0.25">
      <c r="B77" s="511" t="s">
        <v>454</v>
      </c>
      <c r="C77" s="849">
        <v>43815</v>
      </c>
      <c r="D77" s="516">
        <v>46370</v>
      </c>
      <c r="E77" s="516" t="s">
        <v>381</v>
      </c>
      <c r="F77" s="521">
        <v>20381174.690000001</v>
      </c>
      <c r="G77" s="412">
        <v>4.25</v>
      </c>
      <c r="H77" s="493">
        <f t="shared" si="0"/>
        <v>866199.92</v>
      </c>
      <c r="I77" s="522"/>
      <c r="J77" s="523"/>
      <c r="K77" s="850" t="s">
        <v>375</v>
      </c>
      <c r="L77" s="365" t="s">
        <v>409</v>
      </c>
      <c r="R77" s="524"/>
      <c r="S77" s="524"/>
      <c r="T77" s="524"/>
      <c r="U77" s="524"/>
      <c r="V77" s="524"/>
    </row>
    <row r="78" spans="1:22" s="609" customFormat="1" ht="21" customHeight="1" x14ac:dyDescent="0.25">
      <c r="B78" s="511" t="s">
        <v>488</v>
      </c>
      <c r="C78" s="849">
        <v>44179</v>
      </c>
      <c r="D78" s="516">
        <v>46370</v>
      </c>
      <c r="E78" s="516" t="s">
        <v>379</v>
      </c>
      <c r="F78" s="521">
        <v>50000000</v>
      </c>
      <c r="G78" s="412">
        <v>3</v>
      </c>
      <c r="H78" s="493">
        <f t="shared" si="0"/>
        <v>1500000</v>
      </c>
      <c r="I78" s="522"/>
      <c r="J78" s="523"/>
      <c r="K78" s="850" t="s">
        <v>375</v>
      </c>
      <c r="L78" s="640" t="s">
        <v>489</v>
      </c>
      <c r="R78" s="611"/>
      <c r="S78" s="611"/>
      <c r="T78" s="611"/>
      <c r="U78" s="611"/>
      <c r="V78" s="611"/>
    </row>
    <row r="79" spans="1:22" s="609" customFormat="1" ht="21" customHeight="1" x14ac:dyDescent="0.25">
      <c r="B79" s="644" t="s">
        <v>490</v>
      </c>
      <c r="C79" s="871">
        <v>44075</v>
      </c>
      <c r="D79" s="872">
        <v>46629</v>
      </c>
      <c r="E79" s="872" t="s">
        <v>381</v>
      </c>
      <c r="F79" s="873">
        <v>24876034.420000002</v>
      </c>
      <c r="G79" s="649">
        <v>3.53</v>
      </c>
      <c r="H79" s="493">
        <f t="shared" ref="H79:H96" si="1">F79*G79/100</f>
        <v>878124.02</v>
      </c>
      <c r="I79" s="877"/>
      <c r="J79" s="650"/>
      <c r="K79" s="850" t="s">
        <v>375</v>
      </c>
      <c r="L79" s="640"/>
      <c r="R79" s="611"/>
      <c r="S79" s="611"/>
      <c r="T79" s="611"/>
      <c r="U79" s="611"/>
      <c r="V79" s="611"/>
    </row>
    <row r="80" spans="1:22" s="609" customFormat="1" ht="21" customHeight="1" x14ac:dyDescent="0.25">
      <c r="B80" s="644" t="s">
        <v>491</v>
      </c>
      <c r="C80" s="871">
        <v>44726</v>
      </c>
      <c r="D80" s="872">
        <v>47281</v>
      </c>
      <c r="E80" s="872" t="s">
        <v>381</v>
      </c>
      <c r="F80" s="873">
        <v>29000000</v>
      </c>
      <c r="G80" s="649">
        <v>3.95</v>
      </c>
      <c r="H80" s="493">
        <f t="shared" si="1"/>
        <v>1145500</v>
      </c>
      <c r="I80" s="877"/>
      <c r="J80" s="650"/>
      <c r="K80" s="850" t="s">
        <v>437</v>
      </c>
      <c r="L80" s="640"/>
      <c r="R80" s="611"/>
      <c r="S80" s="611"/>
      <c r="T80" s="611"/>
      <c r="U80" s="611"/>
      <c r="V80" s="611"/>
    </row>
    <row r="81" spans="1:22" s="878" customFormat="1" ht="21" customHeight="1" x14ac:dyDescent="0.25">
      <c r="B81" s="806" t="s">
        <v>564</v>
      </c>
      <c r="C81" s="879">
        <v>44799</v>
      </c>
      <c r="D81" s="880">
        <v>46989</v>
      </c>
      <c r="E81" s="880" t="s">
        <v>379</v>
      </c>
      <c r="F81" s="881">
        <v>22835000</v>
      </c>
      <c r="G81" s="808">
        <v>4.125</v>
      </c>
      <c r="H81" s="493">
        <f t="shared" si="1"/>
        <v>941943.75</v>
      </c>
      <c r="I81" s="882"/>
      <c r="J81" s="809"/>
      <c r="K81" s="859" t="s">
        <v>437</v>
      </c>
      <c r="L81" s="883"/>
      <c r="R81" s="884"/>
      <c r="S81" s="884"/>
      <c r="T81" s="884"/>
      <c r="U81" s="884"/>
      <c r="V81" s="884"/>
    </row>
    <row r="82" spans="1:22" s="855" customFormat="1" ht="21" customHeight="1" x14ac:dyDescent="0.25">
      <c r="B82" s="806" t="s">
        <v>565</v>
      </c>
      <c r="C82" s="879">
        <v>44799</v>
      </c>
      <c r="D82" s="879">
        <v>47354</v>
      </c>
      <c r="E82" s="880" t="s">
        <v>381</v>
      </c>
      <c r="F82" s="881">
        <v>47835000</v>
      </c>
      <c r="G82" s="808">
        <v>4.25</v>
      </c>
      <c r="H82" s="493">
        <f t="shared" si="1"/>
        <v>2032987.5</v>
      </c>
      <c r="I82" s="882"/>
      <c r="J82" s="809"/>
      <c r="K82" s="859" t="s">
        <v>437</v>
      </c>
      <c r="L82" s="860"/>
      <c r="R82" s="861"/>
      <c r="S82" s="861"/>
      <c r="T82" s="861"/>
      <c r="U82" s="861"/>
      <c r="V82" s="861"/>
    </row>
    <row r="83" spans="1:22" s="885" customFormat="1" ht="21" customHeight="1" x14ac:dyDescent="0.25">
      <c r="B83" s="806" t="s">
        <v>566</v>
      </c>
      <c r="C83" s="879">
        <v>44799</v>
      </c>
      <c r="D83" s="880">
        <v>47721</v>
      </c>
      <c r="E83" s="880" t="s">
        <v>383</v>
      </c>
      <c r="F83" s="881">
        <v>47837732.369999997</v>
      </c>
      <c r="G83" s="808">
        <v>4.5</v>
      </c>
      <c r="H83" s="493">
        <f t="shared" si="1"/>
        <v>2152697.96</v>
      </c>
      <c r="I83" s="882"/>
      <c r="J83" s="809"/>
      <c r="K83" s="850" t="s">
        <v>437</v>
      </c>
      <c r="L83" s="886"/>
      <c r="R83" s="887"/>
      <c r="S83" s="887"/>
      <c r="T83" s="887"/>
      <c r="U83" s="887"/>
      <c r="V83" s="887"/>
    </row>
    <row r="84" spans="1:22" s="609" customFormat="1" ht="21" customHeight="1" x14ac:dyDescent="0.25">
      <c r="B84" s="644" t="s">
        <v>492</v>
      </c>
      <c r="C84" s="871">
        <v>44260</v>
      </c>
      <c r="D84" s="872">
        <v>47912</v>
      </c>
      <c r="E84" s="872" t="s">
        <v>493</v>
      </c>
      <c r="F84" s="873">
        <v>25000000</v>
      </c>
      <c r="G84" s="649">
        <v>3.125</v>
      </c>
      <c r="H84" s="493">
        <f t="shared" si="1"/>
        <v>781250</v>
      </c>
      <c r="I84" s="877"/>
      <c r="J84" s="650"/>
      <c r="K84" s="850" t="s">
        <v>437</v>
      </c>
      <c r="L84" s="640"/>
      <c r="R84" s="611"/>
      <c r="S84" s="611"/>
      <c r="T84" s="611"/>
      <c r="U84" s="611"/>
      <c r="V84" s="611"/>
    </row>
    <row r="85" spans="1:22" s="609" customFormat="1" ht="21" customHeight="1" x14ac:dyDescent="0.25">
      <c r="B85" s="644" t="s">
        <v>465</v>
      </c>
      <c r="C85" s="871">
        <v>44676</v>
      </c>
      <c r="D85" s="872">
        <v>47961</v>
      </c>
      <c r="E85" s="872" t="s">
        <v>462</v>
      </c>
      <c r="F85" s="873">
        <v>11500000</v>
      </c>
      <c r="G85" s="649">
        <v>3.375</v>
      </c>
      <c r="H85" s="493">
        <f t="shared" si="1"/>
        <v>388125</v>
      </c>
      <c r="I85" s="877"/>
      <c r="J85" s="650"/>
      <c r="K85" s="850" t="s">
        <v>437</v>
      </c>
      <c r="L85" s="505" t="s">
        <v>459</v>
      </c>
      <c r="R85" s="611"/>
      <c r="S85" s="611"/>
      <c r="T85" s="611"/>
      <c r="U85" s="611"/>
      <c r="V85" s="611"/>
    </row>
    <row r="86" spans="1:22" s="520" customFormat="1" ht="21" customHeight="1" x14ac:dyDescent="0.25">
      <c r="B86" s="644" t="s">
        <v>494</v>
      </c>
      <c r="C86" s="871">
        <v>44676</v>
      </c>
      <c r="D86" s="872">
        <v>48326</v>
      </c>
      <c r="E86" s="872" t="s">
        <v>493</v>
      </c>
      <c r="F86" s="873">
        <v>20000000</v>
      </c>
      <c r="G86" s="649">
        <v>3.5</v>
      </c>
      <c r="H86" s="493">
        <f t="shared" si="1"/>
        <v>700000</v>
      </c>
      <c r="I86" s="877"/>
      <c r="J86" s="650"/>
      <c r="K86" s="850" t="s">
        <v>437</v>
      </c>
      <c r="L86" s="505" t="s">
        <v>459</v>
      </c>
      <c r="R86" s="524"/>
      <c r="S86" s="524"/>
      <c r="T86" s="524"/>
      <c r="U86" s="524"/>
      <c r="V86" s="524"/>
    </row>
    <row r="87" spans="1:22" s="365" customFormat="1" ht="21" customHeight="1" x14ac:dyDescent="0.25">
      <c r="B87" s="639" t="s">
        <v>423</v>
      </c>
      <c r="C87" s="528"/>
      <c r="D87" s="528"/>
      <c r="E87" s="534"/>
      <c r="F87" s="373">
        <f>SUM(F88:F90)</f>
        <v>160281593.00999999</v>
      </c>
      <c r="G87" s="367"/>
      <c r="H87" s="851">
        <f>SUM(H62:H86)</f>
        <v>24401187.550000001</v>
      </c>
      <c r="I87" s="852">
        <f>H87/F61</f>
        <v>4.1599999999999998E-2</v>
      </c>
      <c r="J87" s="368"/>
      <c r="K87" s="839"/>
      <c r="R87" s="353"/>
      <c r="S87" s="353"/>
      <c r="T87" s="353"/>
      <c r="U87" s="353"/>
      <c r="V87" s="353"/>
    </row>
    <row r="88" spans="1:22" s="365" customFormat="1" ht="21" customHeight="1" x14ac:dyDescent="0.25">
      <c r="A88" s="519"/>
      <c r="B88" s="414">
        <v>50401687976</v>
      </c>
      <c r="C88" s="408">
        <v>42333</v>
      </c>
      <c r="D88" s="408">
        <v>45253</v>
      </c>
      <c r="E88" s="408" t="s">
        <v>383</v>
      </c>
      <c r="F88" s="854">
        <v>73281593.010000005</v>
      </c>
      <c r="G88" s="404">
        <v>5.4</v>
      </c>
      <c r="H88" s="493">
        <f t="shared" si="1"/>
        <v>3957206.02</v>
      </c>
      <c r="I88" s="496"/>
      <c r="J88" s="497"/>
      <c r="K88" s="850" t="s">
        <v>375</v>
      </c>
      <c r="R88" s="353"/>
      <c r="S88" s="353"/>
      <c r="T88" s="353"/>
      <c r="U88" s="353"/>
      <c r="V88" s="353"/>
    </row>
    <row r="89" spans="1:22" s="365" customFormat="1" ht="21" customHeight="1" x14ac:dyDescent="0.25">
      <c r="A89" s="519"/>
      <c r="B89" s="414">
        <v>50401000670</v>
      </c>
      <c r="C89" s="408">
        <v>44802</v>
      </c>
      <c r="D89" s="408">
        <v>46262</v>
      </c>
      <c r="E89" s="408" t="s">
        <v>408</v>
      </c>
      <c r="F89" s="854">
        <v>43500000</v>
      </c>
      <c r="G89" s="404">
        <v>4.7</v>
      </c>
      <c r="H89" s="493">
        <f t="shared" si="1"/>
        <v>2044500</v>
      </c>
      <c r="I89" s="525"/>
      <c r="J89" s="368"/>
      <c r="K89" s="839" t="s">
        <v>437</v>
      </c>
      <c r="R89" s="353"/>
      <c r="S89" s="353"/>
      <c r="T89" s="353"/>
      <c r="U89" s="353"/>
      <c r="V89" s="353"/>
    </row>
    <row r="90" spans="1:22" s="365" customFormat="1" ht="21" customHeight="1" x14ac:dyDescent="0.25">
      <c r="A90" s="519"/>
      <c r="B90" s="414">
        <v>50401000686</v>
      </c>
      <c r="C90" s="408">
        <v>44802</v>
      </c>
      <c r="D90" s="408">
        <v>46627</v>
      </c>
      <c r="E90" s="408" t="s">
        <v>376</v>
      </c>
      <c r="F90" s="854">
        <v>43500000</v>
      </c>
      <c r="G90" s="404">
        <v>4.8</v>
      </c>
      <c r="H90" s="493">
        <f t="shared" si="1"/>
        <v>2088000</v>
      </c>
      <c r="I90" s="525"/>
      <c r="J90" s="368"/>
      <c r="K90" s="839" t="s">
        <v>437</v>
      </c>
      <c r="R90" s="353"/>
      <c r="S90" s="353"/>
      <c r="T90" s="353"/>
      <c r="U90" s="353"/>
      <c r="V90" s="353"/>
    </row>
    <row r="91" spans="1:22" s="365" customFormat="1" ht="21" customHeight="1" x14ac:dyDescent="0.25">
      <c r="B91" s="639" t="s">
        <v>567</v>
      </c>
      <c r="C91" s="528"/>
      <c r="D91" s="528"/>
      <c r="E91" s="534"/>
      <c r="F91" s="373">
        <f>SUM(F92:F94)</f>
        <v>87000000</v>
      </c>
      <c r="G91" s="367"/>
      <c r="H91" s="493"/>
      <c r="I91" s="525"/>
      <c r="J91" s="368"/>
      <c r="K91" s="839"/>
      <c r="R91" s="353"/>
      <c r="S91" s="353"/>
      <c r="T91" s="353"/>
      <c r="U91" s="353"/>
      <c r="V91" s="353"/>
    </row>
    <row r="92" spans="1:22" s="365" customFormat="1" ht="21" customHeight="1" x14ac:dyDescent="0.25">
      <c r="A92" s="519"/>
      <c r="B92" s="511">
        <v>130020000610160</v>
      </c>
      <c r="C92" s="849">
        <v>44803</v>
      </c>
      <c r="D92" s="849">
        <v>45898</v>
      </c>
      <c r="E92" s="516" t="s">
        <v>477</v>
      </c>
      <c r="F92" s="521">
        <v>29000000</v>
      </c>
      <c r="G92" s="865">
        <v>4.0999999999999996</v>
      </c>
      <c r="H92" s="493">
        <f t="shared" si="1"/>
        <v>1189000</v>
      </c>
      <c r="I92" s="866"/>
      <c r="J92" s="867"/>
      <c r="K92" s="850" t="s">
        <v>437</v>
      </c>
      <c r="R92" s="353"/>
      <c r="S92" s="353"/>
      <c r="T92" s="353"/>
      <c r="U92" s="353"/>
      <c r="V92" s="353"/>
    </row>
    <row r="93" spans="1:22" s="365" customFormat="1" ht="21" customHeight="1" x14ac:dyDescent="0.25">
      <c r="A93" s="519"/>
      <c r="B93" s="511">
        <v>130020000610112</v>
      </c>
      <c r="C93" s="849">
        <v>44803</v>
      </c>
      <c r="D93" s="849">
        <v>46265</v>
      </c>
      <c r="E93" s="516" t="s">
        <v>408</v>
      </c>
      <c r="F93" s="521">
        <v>29000000</v>
      </c>
      <c r="G93" s="865">
        <v>4.5</v>
      </c>
      <c r="H93" s="493">
        <f t="shared" si="1"/>
        <v>1305000</v>
      </c>
      <c r="I93" s="866"/>
      <c r="J93" s="867"/>
      <c r="K93" s="850" t="s">
        <v>437</v>
      </c>
      <c r="R93" s="353"/>
      <c r="S93" s="353"/>
      <c r="T93" s="353"/>
      <c r="U93" s="353"/>
      <c r="V93" s="353"/>
    </row>
    <row r="94" spans="1:22" s="365" customFormat="1" ht="21" customHeight="1" x14ac:dyDescent="0.25">
      <c r="A94" s="519"/>
      <c r="B94" s="511">
        <v>130020000610110</v>
      </c>
      <c r="C94" s="849">
        <v>44803</v>
      </c>
      <c r="D94" s="849">
        <v>46629</v>
      </c>
      <c r="E94" s="516" t="s">
        <v>376</v>
      </c>
      <c r="F94" s="521">
        <v>29000000</v>
      </c>
      <c r="G94" s="865">
        <v>5</v>
      </c>
      <c r="H94" s="493">
        <f t="shared" si="1"/>
        <v>1450000</v>
      </c>
      <c r="I94" s="866"/>
      <c r="J94" s="867"/>
      <c r="K94" s="850" t="s">
        <v>437</v>
      </c>
      <c r="R94" s="353"/>
      <c r="S94" s="353"/>
      <c r="T94" s="353"/>
      <c r="U94" s="353"/>
      <c r="V94" s="353"/>
    </row>
    <row r="95" spans="1:22" s="365" customFormat="1" ht="21" customHeight="1" x14ac:dyDescent="0.25">
      <c r="B95" s="639" t="s">
        <v>568</v>
      </c>
      <c r="C95" s="528"/>
      <c r="D95" s="528"/>
      <c r="E95" s="534"/>
      <c r="F95" s="373">
        <f>SUM(F96:F98)</f>
        <v>43500000</v>
      </c>
      <c r="G95" s="367"/>
      <c r="H95" s="493"/>
      <c r="I95" s="525"/>
      <c r="J95" s="368"/>
      <c r="K95" s="839"/>
      <c r="R95" s="353"/>
      <c r="S95" s="353"/>
      <c r="T95" s="353"/>
      <c r="U95" s="353"/>
      <c r="V95" s="353"/>
    </row>
    <row r="96" spans="1:22" s="365" customFormat="1" ht="21" customHeight="1" x14ac:dyDescent="0.25">
      <c r="A96" s="519"/>
      <c r="B96" s="414">
        <v>258906338</v>
      </c>
      <c r="C96" s="408">
        <v>44777</v>
      </c>
      <c r="D96" s="408">
        <v>45873</v>
      </c>
      <c r="E96" s="408" t="s">
        <v>381</v>
      </c>
      <c r="F96" s="854">
        <v>43500000</v>
      </c>
      <c r="G96" s="404">
        <v>5.25</v>
      </c>
      <c r="H96" s="493">
        <f t="shared" si="1"/>
        <v>2283750</v>
      </c>
      <c r="I96" s="496"/>
      <c r="J96" s="497"/>
      <c r="K96" s="850" t="s">
        <v>375</v>
      </c>
      <c r="R96" s="353"/>
      <c r="S96" s="353"/>
      <c r="T96" s="353"/>
      <c r="U96" s="353"/>
      <c r="V96" s="353"/>
    </row>
    <row r="97" spans="2:22" s="365" customFormat="1" ht="21" customHeight="1" x14ac:dyDescent="0.25">
      <c r="B97" s="652"/>
      <c r="C97" s="653"/>
      <c r="D97" s="654"/>
      <c r="E97" s="654"/>
      <c r="F97" s="655"/>
      <c r="G97" s="656"/>
      <c r="H97" s="888">
        <f>SUM(H88:H96)</f>
        <v>14317456.02</v>
      </c>
      <c r="I97" s="852">
        <f>H97/J97</f>
        <v>4.9200000000000001E-2</v>
      </c>
      <c r="J97" s="368">
        <f>F88+F89+F90+F92+F93+F94+F96</f>
        <v>290781593.00999999</v>
      </c>
      <c r="K97" s="839"/>
      <c r="M97" s="589"/>
      <c r="R97" s="353"/>
      <c r="S97" s="353"/>
      <c r="T97" s="353"/>
      <c r="U97" s="353"/>
      <c r="V97" s="353"/>
    </row>
    <row r="98" spans="2:22" s="520" customFormat="1" ht="21" customHeight="1" x14ac:dyDescent="0.35">
      <c r="B98" s="889" t="str">
        <f>[10]SEGUROS!$B$51</f>
        <v xml:space="preserve">FUENTE: DEPTO DE TESORERIA - DNF </v>
      </c>
      <c r="C98" s="344"/>
      <c r="D98" s="459"/>
      <c r="E98" s="336"/>
      <c r="F98" s="456"/>
      <c r="G98" s="682"/>
      <c r="H98" s="458"/>
      <c r="I98" s="543"/>
      <c r="J98" s="458">
        <f>F87+F91+F95</f>
        <v>290781593.00999999</v>
      </c>
      <c r="K98" s="839"/>
      <c r="L98" s="365"/>
      <c r="M98" s="337"/>
      <c r="R98" s="524"/>
      <c r="S98" s="524"/>
      <c r="T98" s="524"/>
      <c r="U98" s="524"/>
      <c r="V98" s="524"/>
    </row>
    <row r="99" spans="2:22" ht="21" customHeight="1" x14ac:dyDescent="0.35">
      <c r="B99" s="890">
        <f>'[10]VENC. '!$B$176</f>
        <v>44839</v>
      </c>
      <c r="C99" s="344"/>
      <c r="D99" s="455"/>
      <c r="E99" s="336"/>
      <c r="G99" s="682"/>
    </row>
    <row r="100" spans="2:22" ht="21" customHeight="1" x14ac:dyDescent="0.35">
      <c r="B100" s="677" t="str">
        <f>'[10]VENC. '!B$177</f>
        <v>Preparado por:    _______________________________________</v>
      </c>
      <c r="C100" s="453"/>
      <c r="D100" s="1656" t="str">
        <f>'[10]VENC. '!D$177</f>
        <v>Revisado por:      ___________________________________</v>
      </c>
      <c r="E100" s="1656"/>
      <c r="F100" s="1656"/>
      <c r="G100" s="1657"/>
      <c r="H100" s="343"/>
      <c r="I100" s="892"/>
      <c r="J100" s="343"/>
    </row>
    <row r="101" spans="2:22" ht="21" customHeight="1" x14ac:dyDescent="0.35">
      <c r="B101" s="1655" t="s">
        <v>573</v>
      </c>
      <c r="C101" s="1656"/>
      <c r="D101" s="1656" t="s">
        <v>574</v>
      </c>
      <c r="E101" s="1656"/>
      <c r="F101" s="1656"/>
      <c r="G101" s="1657"/>
      <c r="H101" s="343"/>
      <c r="I101" s="892"/>
      <c r="J101" s="343"/>
    </row>
    <row r="102" spans="2:22" ht="13.5" customHeight="1" x14ac:dyDescent="0.35">
      <c r="B102" s="1655" t="str">
        <f>'[10]VENC. '!B$179</f>
        <v>Analista de Presupuesto</v>
      </c>
      <c r="C102" s="1656"/>
      <c r="D102" s="1656" t="s">
        <v>498</v>
      </c>
      <c r="E102" s="1656"/>
      <c r="F102" s="1656"/>
      <c r="G102" s="1657"/>
      <c r="H102" s="343"/>
      <c r="I102" s="892"/>
      <c r="J102" s="343"/>
    </row>
    <row r="103" spans="2:22" ht="21" customHeight="1" x14ac:dyDescent="0.35">
      <c r="B103" s="893"/>
      <c r="C103" s="894"/>
      <c r="D103" s="894"/>
      <c r="E103" s="894"/>
      <c r="F103" s="894"/>
      <c r="G103" s="895"/>
      <c r="H103" s="454"/>
      <c r="I103" s="896"/>
      <c r="J103" s="454"/>
    </row>
    <row r="104" spans="2:22" ht="16.5" customHeight="1" x14ac:dyDescent="0.35">
      <c r="B104" s="459"/>
    </row>
  </sheetData>
  <mergeCells count="20">
    <mergeCell ref="B101:C101"/>
    <mergeCell ref="D101:G101"/>
    <mergeCell ref="B102:C102"/>
    <mergeCell ref="D102:G102"/>
    <mergeCell ref="F6:F7"/>
    <mergeCell ref="G6:G8"/>
    <mergeCell ref="K6:K8"/>
    <mergeCell ref="M7:R8"/>
    <mergeCell ref="B9:E9"/>
    <mergeCell ref="D100:G100"/>
    <mergeCell ref="N1:R1"/>
    <mergeCell ref="B2:G2"/>
    <mergeCell ref="B3:G3"/>
    <mergeCell ref="M3:R3"/>
    <mergeCell ref="B4:G4"/>
    <mergeCell ref="M4:M6"/>
    <mergeCell ref="B5:G5"/>
    <mergeCell ref="B6:B8"/>
    <mergeCell ref="C6:D7"/>
    <mergeCell ref="E6:E8"/>
  </mergeCells>
  <pageMargins left="0.7" right="0.7" top="0.75" bottom="0.75" header="0.3" footer="0.3"/>
  <pageSetup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V48"/>
  <sheetViews>
    <sheetView workbookViewId="0">
      <selection activeCell="H13" sqref="H13"/>
    </sheetView>
  </sheetViews>
  <sheetFormatPr baseColWidth="10" defaultColWidth="18" defaultRowHeight="15.5" x14ac:dyDescent="0.35"/>
  <cols>
    <col min="1" max="1" width="7" style="355" customWidth="1"/>
    <col min="2" max="2" width="30.7265625" style="453" customWidth="1"/>
    <col min="3" max="3" width="20.1796875" style="453" customWidth="1"/>
    <col min="4" max="4" width="18.1796875" style="453" customWidth="1"/>
    <col min="5" max="5" width="14.26953125" style="453" customWidth="1"/>
    <col min="6" max="6" width="23" style="453" customWidth="1"/>
    <col min="7" max="7" width="20.1796875" style="344" customWidth="1"/>
    <col min="8" max="8" width="20.1796875" style="343" customWidth="1"/>
    <col min="9" max="9" width="20.1796875" style="892" customWidth="1"/>
    <col min="10" max="10" width="20.1796875" style="343" customWidth="1"/>
    <col min="11" max="11" width="30" style="365" customWidth="1"/>
    <col min="12" max="12" width="17.453125" style="358" customWidth="1"/>
    <col min="13" max="13" width="21.453125" style="358" customWidth="1"/>
    <col min="14" max="17" width="18" style="355"/>
    <col min="18" max="22" width="18" style="359"/>
    <col min="23" max="16384" width="18" style="355"/>
  </cols>
  <sheetData>
    <row r="1" spans="1:22" s="331" customFormat="1" x14ac:dyDescent="0.25">
      <c r="B1" s="900"/>
      <c r="C1" s="901"/>
      <c r="D1" s="901"/>
      <c r="E1" s="901"/>
      <c r="F1" s="901"/>
      <c r="G1" s="902" t="s">
        <v>389</v>
      </c>
      <c r="H1" s="469"/>
      <c r="I1" s="470"/>
      <c r="J1" s="469"/>
      <c r="K1" s="345"/>
      <c r="L1" s="337"/>
      <c r="M1" s="338"/>
      <c r="N1" s="1654"/>
      <c r="O1" s="1654"/>
      <c r="P1" s="1654"/>
      <c r="Q1" s="1654"/>
      <c r="R1" s="1654"/>
      <c r="S1" s="340"/>
      <c r="T1" s="340"/>
      <c r="U1" s="340"/>
      <c r="V1" s="340"/>
    </row>
    <row r="2" spans="1:22" s="331" customFormat="1" x14ac:dyDescent="0.25">
      <c r="B2" s="903"/>
      <c r="C2" s="740"/>
      <c r="D2" s="740"/>
      <c r="E2" s="740"/>
      <c r="F2" s="740"/>
      <c r="G2" s="803"/>
      <c r="H2" s="469"/>
      <c r="I2" s="470"/>
      <c r="J2" s="469"/>
      <c r="K2" s="345"/>
      <c r="L2" s="337"/>
      <c r="M2" s="338"/>
      <c r="N2" s="339"/>
      <c r="O2" s="339"/>
      <c r="P2" s="339"/>
      <c r="Q2" s="339"/>
      <c r="R2" s="339"/>
      <c r="S2" s="340"/>
      <c r="T2" s="340"/>
      <c r="U2" s="340"/>
      <c r="V2" s="340"/>
    </row>
    <row r="3" spans="1:22" s="341" customFormat="1" x14ac:dyDescent="0.25">
      <c r="B3" s="1666" t="s">
        <v>0</v>
      </c>
      <c r="C3" s="1667"/>
      <c r="D3" s="1667"/>
      <c r="E3" s="1667"/>
      <c r="F3" s="1667"/>
      <c r="G3" s="1668"/>
      <c r="H3" s="469"/>
      <c r="I3" s="470"/>
      <c r="J3" s="469"/>
      <c r="K3" s="345"/>
      <c r="L3" s="345"/>
      <c r="M3" s="1658"/>
      <c r="N3" s="1658"/>
      <c r="O3" s="1658"/>
      <c r="P3" s="1658"/>
      <c r="Q3" s="1658"/>
      <c r="R3" s="1658"/>
      <c r="S3" s="346"/>
      <c r="T3" s="346"/>
      <c r="U3" s="346"/>
      <c r="V3" s="346"/>
    </row>
    <row r="4" spans="1:22" s="352" customFormat="1" x14ac:dyDescent="0.25">
      <c r="A4" s="347"/>
      <c r="B4" s="1669" t="s">
        <v>390</v>
      </c>
      <c r="C4" s="1670"/>
      <c r="D4" s="1670"/>
      <c r="E4" s="1670"/>
      <c r="F4" s="1670"/>
      <c r="G4" s="1671"/>
      <c r="H4" s="471"/>
      <c r="I4" s="472"/>
      <c r="J4" s="471"/>
      <c r="K4" s="350"/>
      <c r="L4" s="350"/>
      <c r="M4" s="1662"/>
      <c r="N4" s="351"/>
      <c r="O4" s="351"/>
      <c r="P4" s="351"/>
      <c r="Q4" s="351"/>
      <c r="R4" s="351"/>
      <c r="S4" s="346"/>
      <c r="T4" s="346"/>
      <c r="U4" s="346"/>
      <c r="V4" s="347"/>
    </row>
    <row r="5" spans="1:22" s="352" customFormat="1" x14ac:dyDescent="0.25">
      <c r="A5" s="347"/>
      <c r="B5" s="1669" t="s">
        <v>391</v>
      </c>
      <c r="C5" s="1670"/>
      <c r="D5" s="1670"/>
      <c r="E5" s="1670"/>
      <c r="F5" s="1670"/>
      <c r="G5" s="1671"/>
      <c r="H5" s="471"/>
      <c r="I5" s="472"/>
      <c r="J5" s="471"/>
      <c r="K5" s="350"/>
      <c r="L5" s="350"/>
      <c r="M5" s="1662"/>
      <c r="N5" s="351"/>
      <c r="O5" s="351"/>
      <c r="P5" s="351"/>
      <c r="Q5" s="351"/>
      <c r="R5" s="351"/>
      <c r="S5" s="346"/>
      <c r="T5" s="346"/>
      <c r="U5" s="346"/>
      <c r="V5" s="347"/>
    </row>
    <row r="6" spans="1:22" s="341" customFormat="1" x14ac:dyDescent="0.25">
      <c r="B6" s="1672" t="str">
        <f>'[10]VENC. '!$B$4</f>
        <v xml:space="preserve"> AL 30 DE SEPTIEMBRE  2022</v>
      </c>
      <c r="C6" s="1673"/>
      <c r="D6" s="1673"/>
      <c r="E6" s="1673"/>
      <c r="F6" s="1673"/>
      <c r="G6" s="1674"/>
      <c r="H6" s="469"/>
      <c r="I6" s="470"/>
      <c r="J6" s="469"/>
      <c r="K6" s="350"/>
      <c r="L6" s="350"/>
      <c r="M6" s="1662"/>
      <c r="N6" s="353"/>
      <c r="O6" s="353"/>
      <c r="P6" s="345"/>
      <c r="Q6" s="345"/>
      <c r="R6" s="354"/>
      <c r="S6" s="346"/>
      <c r="T6" s="346"/>
      <c r="U6" s="346"/>
      <c r="V6" s="346"/>
    </row>
    <row r="7" spans="1:22" x14ac:dyDescent="0.35">
      <c r="B7" s="1678" t="s">
        <v>362</v>
      </c>
      <c r="C7" s="1669" t="s">
        <v>363</v>
      </c>
      <c r="D7" s="1671"/>
      <c r="E7" s="1678" t="s">
        <v>364</v>
      </c>
      <c r="F7" s="1678" t="s">
        <v>365</v>
      </c>
      <c r="G7" s="1678" t="s">
        <v>366</v>
      </c>
      <c r="H7" s="473"/>
      <c r="I7" s="474"/>
      <c r="J7" s="473"/>
      <c r="K7" s="1653" t="s">
        <v>367</v>
      </c>
      <c r="M7" s="1640"/>
      <c r="N7" s="1640"/>
      <c r="O7" s="1640"/>
      <c r="P7" s="1640"/>
      <c r="Q7" s="1640"/>
      <c r="R7" s="1640"/>
    </row>
    <row r="8" spans="1:22" x14ac:dyDescent="0.35">
      <c r="B8" s="1678"/>
      <c r="C8" s="1669"/>
      <c r="D8" s="1671"/>
      <c r="E8" s="1678"/>
      <c r="F8" s="1678"/>
      <c r="G8" s="1678"/>
      <c r="H8" s="473"/>
      <c r="I8" s="474"/>
      <c r="J8" s="473"/>
      <c r="K8" s="1649"/>
      <c r="M8" s="1640"/>
      <c r="N8" s="1640"/>
      <c r="O8" s="1640"/>
      <c r="P8" s="1640"/>
      <c r="Q8" s="1640"/>
      <c r="R8" s="1640"/>
    </row>
    <row r="9" spans="1:22" ht="30" customHeight="1" x14ac:dyDescent="0.35">
      <c r="B9" s="1679"/>
      <c r="C9" s="904" t="s">
        <v>368</v>
      </c>
      <c r="D9" s="905" t="s">
        <v>369</v>
      </c>
      <c r="E9" s="1679"/>
      <c r="F9" s="802" t="s">
        <v>370</v>
      </c>
      <c r="G9" s="1679"/>
      <c r="H9" s="478"/>
      <c r="I9" s="479"/>
      <c r="J9" s="478"/>
      <c r="K9" s="1650"/>
      <c r="L9" s="353"/>
      <c r="M9" s="354"/>
      <c r="N9" s="338"/>
      <c r="O9" s="338"/>
      <c r="P9" s="338"/>
      <c r="Q9" s="338"/>
      <c r="R9" s="338"/>
      <c r="S9" s="340"/>
    </row>
    <row r="10" spans="1:22" s="365" customFormat="1" x14ac:dyDescent="0.25">
      <c r="B10" s="1702" t="s">
        <v>392</v>
      </c>
      <c r="C10" s="1703"/>
      <c r="D10" s="1703"/>
      <c r="E10" s="1703"/>
      <c r="F10" s="480">
        <f>SUM(F11)+F19+F33+F35+F37</f>
        <v>440350741.04000002</v>
      </c>
      <c r="G10" s="481"/>
      <c r="H10" s="482"/>
      <c r="I10" s="483"/>
      <c r="J10" s="482"/>
      <c r="R10" s="353"/>
      <c r="S10" s="353"/>
      <c r="T10" s="353"/>
      <c r="U10" s="353"/>
      <c r="V10" s="353"/>
    </row>
    <row r="11" spans="1:22" s="365" customFormat="1" x14ac:dyDescent="0.25">
      <c r="B11" s="484" t="s">
        <v>372</v>
      </c>
      <c r="C11" s="906"/>
      <c r="D11" s="906"/>
      <c r="E11" s="906"/>
      <c r="F11" s="480">
        <f>SUM(F12:F18)</f>
        <v>126464430.43000001</v>
      </c>
      <c r="G11" s="481"/>
      <c r="H11" s="482"/>
      <c r="I11" s="483"/>
      <c r="J11" s="482"/>
      <c r="R11" s="353"/>
      <c r="S11" s="353"/>
      <c r="T11" s="353"/>
      <c r="U11" s="353"/>
      <c r="V11" s="353"/>
    </row>
    <row r="12" spans="1:22" s="908" customFormat="1" x14ac:dyDescent="0.25">
      <c r="A12" s="840"/>
      <c r="B12" s="487">
        <v>150000127255</v>
      </c>
      <c r="C12" s="841">
        <v>44834</v>
      </c>
      <c r="D12" s="842">
        <v>44837</v>
      </c>
      <c r="E12" s="843" t="s">
        <v>562</v>
      </c>
      <c r="F12" s="710">
        <v>117000000</v>
      </c>
      <c r="G12" s="492">
        <v>0.4</v>
      </c>
      <c r="H12" s="493">
        <f>(F12*G12/100)</f>
        <v>468000</v>
      </c>
      <c r="I12" s="494"/>
      <c r="J12" s="493"/>
      <c r="K12" s="907" t="s">
        <v>375</v>
      </c>
      <c r="L12" s="840"/>
      <c r="M12" s="840"/>
      <c r="R12" s="909"/>
      <c r="S12" s="909"/>
      <c r="T12" s="909"/>
      <c r="U12" s="909"/>
      <c r="V12" s="909"/>
    </row>
    <row r="13" spans="1:22" s="919" customFormat="1" x14ac:dyDescent="0.25">
      <c r="A13" s="910"/>
      <c r="B13" s="911">
        <v>110000082228</v>
      </c>
      <c r="C13" s="912">
        <v>44760</v>
      </c>
      <c r="D13" s="913">
        <v>44851</v>
      </c>
      <c r="E13" s="912" t="s">
        <v>557</v>
      </c>
      <c r="F13" s="914">
        <f>2917.8+2917.8+2917.8+2917.8</f>
        <v>11671.2</v>
      </c>
      <c r="G13" s="915">
        <v>0.75</v>
      </c>
      <c r="H13" s="493">
        <f t="shared" ref="H13:H38" si="0">F13*G13/100</f>
        <v>87.53</v>
      </c>
      <c r="I13" s="916"/>
      <c r="J13" s="917"/>
      <c r="K13" s="918" t="s">
        <v>375</v>
      </c>
      <c r="L13" s="910"/>
      <c r="M13" s="910"/>
      <c r="R13" s="920"/>
      <c r="S13" s="920"/>
      <c r="T13" s="920"/>
      <c r="U13" s="920"/>
      <c r="V13" s="920"/>
    </row>
    <row r="14" spans="1:22" s="919" customFormat="1" x14ac:dyDescent="0.25">
      <c r="A14" s="910"/>
      <c r="B14" s="911">
        <v>110000082237</v>
      </c>
      <c r="C14" s="912">
        <v>44760</v>
      </c>
      <c r="D14" s="913">
        <v>44851</v>
      </c>
      <c r="E14" s="912" t="s">
        <v>557</v>
      </c>
      <c r="F14" s="914">
        <f>2676.81+2676.81+2676.81+2676.81</f>
        <v>10707.24</v>
      </c>
      <c r="G14" s="915">
        <v>0.75</v>
      </c>
      <c r="H14" s="493">
        <f t="shared" si="0"/>
        <v>80.3</v>
      </c>
      <c r="I14" s="916"/>
      <c r="J14" s="917"/>
      <c r="K14" s="918" t="s">
        <v>375</v>
      </c>
      <c r="L14" s="910"/>
      <c r="M14" s="910"/>
      <c r="R14" s="920"/>
      <c r="S14" s="920"/>
      <c r="T14" s="920"/>
      <c r="U14" s="920"/>
      <c r="V14" s="920"/>
    </row>
    <row r="15" spans="1:22" s="365" customFormat="1" x14ac:dyDescent="0.25">
      <c r="B15" s="399">
        <v>110000013267</v>
      </c>
      <c r="C15" s="516" t="s">
        <v>394</v>
      </c>
      <c r="D15" s="516" t="s">
        <v>395</v>
      </c>
      <c r="E15" s="516" t="s">
        <v>376</v>
      </c>
      <c r="F15" s="521">
        <v>2000000</v>
      </c>
      <c r="G15" s="404">
        <v>2.88</v>
      </c>
      <c r="H15" s="493">
        <f t="shared" si="0"/>
        <v>57600</v>
      </c>
      <c r="I15" s="496"/>
      <c r="J15" s="497"/>
      <c r="K15" s="495" t="s">
        <v>375</v>
      </c>
      <c r="L15" s="405" t="s">
        <v>396</v>
      </c>
      <c r="R15" s="353"/>
      <c r="S15" s="353"/>
      <c r="T15" s="353"/>
      <c r="U15" s="353"/>
      <c r="V15" s="353"/>
    </row>
    <row r="16" spans="1:22" s="370" customFormat="1" x14ac:dyDescent="0.25">
      <c r="A16" s="365"/>
      <c r="B16" s="511">
        <v>110000053315</v>
      </c>
      <c r="C16" s="849">
        <v>42916</v>
      </c>
      <c r="D16" s="849">
        <v>45838</v>
      </c>
      <c r="E16" s="516" t="s">
        <v>383</v>
      </c>
      <c r="F16" s="521">
        <v>2313170.35</v>
      </c>
      <c r="G16" s="502">
        <v>3.25</v>
      </c>
      <c r="H16" s="493">
        <f t="shared" si="0"/>
        <v>75178.039999999994</v>
      </c>
      <c r="I16" s="503"/>
      <c r="J16" s="504"/>
      <c r="K16" s="505" t="s">
        <v>375</v>
      </c>
      <c r="L16" s="365" t="s">
        <v>397</v>
      </c>
      <c r="M16" s="365"/>
      <c r="R16" s="374"/>
      <c r="S16" s="374"/>
      <c r="T16" s="374"/>
      <c r="U16" s="374"/>
      <c r="V16" s="374"/>
    </row>
    <row r="17" spans="1:22" s="370" customFormat="1" x14ac:dyDescent="0.25">
      <c r="A17" s="365"/>
      <c r="B17" s="416">
        <v>110000055015</v>
      </c>
      <c r="C17" s="921">
        <v>42964</v>
      </c>
      <c r="D17" s="921">
        <v>45887</v>
      </c>
      <c r="E17" s="922" t="s">
        <v>383</v>
      </c>
      <c r="F17" s="923">
        <f>554.52+554.52+554.52+554.52+554.52+554.52+554.52</f>
        <v>3881.64</v>
      </c>
      <c r="G17" s="420">
        <v>3.25</v>
      </c>
      <c r="H17" s="493">
        <f t="shared" si="0"/>
        <v>126.15</v>
      </c>
      <c r="I17" s="506"/>
      <c r="J17" s="507"/>
      <c r="K17" s="398" t="s">
        <v>375</v>
      </c>
      <c r="L17" s="353" t="s">
        <v>384</v>
      </c>
      <c r="M17" s="365"/>
      <c r="R17" s="374"/>
      <c r="S17" s="374"/>
      <c r="T17" s="374"/>
      <c r="U17" s="374"/>
      <c r="V17" s="374"/>
    </row>
    <row r="18" spans="1:22" s="365" customFormat="1" x14ac:dyDescent="0.25">
      <c r="B18" s="414">
        <v>110000058643</v>
      </c>
      <c r="C18" s="408" t="s">
        <v>398</v>
      </c>
      <c r="D18" s="408" t="s">
        <v>399</v>
      </c>
      <c r="E18" s="408" t="s">
        <v>383</v>
      </c>
      <c r="F18" s="521">
        <v>5125000</v>
      </c>
      <c r="G18" s="404">
        <v>3.3</v>
      </c>
      <c r="H18" s="493">
        <f t="shared" si="0"/>
        <v>169125</v>
      </c>
      <c r="I18" s="496"/>
      <c r="J18" s="497"/>
      <c r="K18" s="505" t="s">
        <v>375</v>
      </c>
      <c r="L18" s="365" t="s">
        <v>400</v>
      </c>
      <c r="R18" s="353"/>
      <c r="S18" s="353"/>
      <c r="T18" s="353"/>
      <c r="U18" s="353"/>
      <c r="V18" s="353"/>
    </row>
    <row r="19" spans="1:22" s="365" customFormat="1" x14ac:dyDescent="0.25">
      <c r="B19" s="508" t="s">
        <v>401</v>
      </c>
      <c r="C19" s="509"/>
      <c r="D19" s="509"/>
      <c r="E19" s="509"/>
      <c r="F19" s="480">
        <f>SUM(F20:F32)</f>
        <v>244607903.62</v>
      </c>
      <c r="G19" s="367"/>
      <c r="H19" s="851">
        <f>SUM(H12:H18)</f>
        <v>770197.02</v>
      </c>
      <c r="I19" s="852">
        <f>H19/F11</f>
        <v>6.1000000000000004E-3</v>
      </c>
      <c r="J19" s="368"/>
      <c r="R19" s="353"/>
      <c r="S19" s="353"/>
      <c r="T19" s="353"/>
      <c r="U19" s="353"/>
      <c r="V19" s="353"/>
    </row>
    <row r="20" spans="1:22" s="370" customFormat="1" x14ac:dyDescent="0.25">
      <c r="A20" s="365"/>
      <c r="B20" s="511" t="s">
        <v>403</v>
      </c>
      <c r="C20" s="849">
        <v>42431</v>
      </c>
      <c r="D20" s="849">
        <v>44986</v>
      </c>
      <c r="E20" s="516" t="s">
        <v>381</v>
      </c>
      <c r="F20" s="521">
        <v>34260698.609999999</v>
      </c>
      <c r="G20" s="404">
        <v>4.8125</v>
      </c>
      <c r="H20" s="493">
        <f t="shared" si="0"/>
        <v>1648796.12</v>
      </c>
      <c r="I20" s="496"/>
      <c r="J20" s="497"/>
      <c r="K20" s="505" t="s">
        <v>375</v>
      </c>
      <c r="L20" s="365"/>
      <c r="M20" s="365"/>
      <c r="R20" s="374"/>
      <c r="S20" s="374"/>
      <c r="T20" s="374"/>
      <c r="U20" s="374"/>
      <c r="V20" s="374"/>
    </row>
    <row r="21" spans="1:22" s="370" customFormat="1" x14ac:dyDescent="0.25">
      <c r="A21" s="365"/>
      <c r="B21" s="511" t="s">
        <v>404</v>
      </c>
      <c r="C21" s="849">
        <v>42599</v>
      </c>
      <c r="D21" s="849">
        <v>45155</v>
      </c>
      <c r="E21" s="516" t="s">
        <v>381</v>
      </c>
      <c r="F21" s="521">
        <v>16344806.85</v>
      </c>
      <c r="G21" s="404">
        <v>4.8</v>
      </c>
      <c r="H21" s="493">
        <f t="shared" si="0"/>
        <v>784550.73</v>
      </c>
      <c r="I21" s="496"/>
      <c r="J21" s="497"/>
      <c r="K21" s="505" t="s">
        <v>375</v>
      </c>
      <c r="L21" s="365"/>
      <c r="M21" s="365"/>
      <c r="R21" s="374"/>
      <c r="S21" s="374"/>
      <c r="T21" s="374"/>
      <c r="U21" s="374"/>
      <c r="V21" s="374"/>
    </row>
    <row r="22" spans="1:22" s="370" customFormat="1" x14ac:dyDescent="0.25">
      <c r="A22" s="365"/>
      <c r="B22" s="511" t="s">
        <v>405</v>
      </c>
      <c r="C22" s="849">
        <v>42250</v>
      </c>
      <c r="D22" s="516">
        <v>45170</v>
      </c>
      <c r="E22" s="516" t="s">
        <v>383</v>
      </c>
      <c r="F22" s="521">
        <v>13021909.07</v>
      </c>
      <c r="G22" s="404">
        <v>4.875</v>
      </c>
      <c r="H22" s="493">
        <f t="shared" si="0"/>
        <v>634818.06999999995</v>
      </c>
      <c r="I22" s="496"/>
      <c r="J22" s="497"/>
      <c r="K22" s="505" t="s">
        <v>375</v>
      </c>
      <c r="L22" s="365"/>
      <c r="M22" s="365"/>
      <c r="R22" s="374"/>
      <c r="S22" s="374"/>
      <c r="T22" s="374"/>
      <c r="U22" s="374"/>
      <c r="V22" s="374"/>
    </row>
    <row r="23" spans="1:22" s="370" customFormat="1" x14ac:dyDescent="0.25">
      <c r="A23" s="365"/>
      <c r="B23" s="511" t="s">
        <v>406</v>
      </c>
      <c r="C23" s="849">
        <v>42277</v>
      </c>
      <c r="D23" s="516">
        <v>45197</v>
      </c>
      <c r="E23" s="516" t="s">
        <v>383</v>
      </c>
      <c r="F23" s="521">
        <v>19695245.920000002</v>
      </c>
      <c r="G23" s="404">
        <v>4.9000000000000004</v>
      </c>
      <c r="H23" s="493">
        <f t="shared" si="0"/>
        <v>965067.05</v>
      </c>
      <c r="I23" s="496"/>
      <c r="J23" s="497"/>
      <c r="K23" s="505" t="s">
        <v>375</v>
      </c>
      <c r="L23" s="365"/>
      <c r="M23" s="365"/>
      <c r="R23" s="374"/>
      <c r="S23" s="374"/>
      <c r="T23" s="374"/>
      <c r="U23" s="374"/>
      <c r="V23" s="374"/>
    </row>
    <row r="24" spans="1:22" s="514" customFormat="1" x14ac:dyDescent="0.25">
      <c r="A24" s="512"/>
      <c r="B24" s="511" t="s">
        <v>407</v>
      </c>
      <c r="C24" s="849">
        <v>43815</v>
      </c>
      <c r="D24" s="516">
        <v>45275</v>
      </c>
      <c r="E24" s="516" t="s">
        <v>408</v>
      </c>
      <c r="F24" s="521">
        <v>25000000</v>
      </c>
      <c r="G24" s="404">
        <v>3.75</v>
      </c>
      <c r="H24" s="493">
        <f t="shared" si="0"/>
        <v>937500</v>
      </c>
      <c r="I24" s="496"/>
      <c r="J24" s="497"/>
      <c r="K24" s="513" t="s">
        <v>375</v>
      </c>
      <c r="L24" s="512" t="s">
        <v>409</v>
      </c>
      <c r="M24" s="512"/>
      <c r="R24" s="515"/>
      <c r="S24" s="515"/>
      <c r="T24" s="515"/>
      <c r="U24" s="515"/>
      <c r="V24" s="515"/>
    </row>
    <row r="25" spans="1:22" s="365" customFormat="1" x14ac:dyDescent="0.25">
      <c r="B25" s="511" t="s">
        <v>410</v>
      </c>
      <c r="C25" s="849">
        <v>43546</v>
      </c>
      <c r="D25" s="849">
        <v>45373</v>
      </c>
      <c r="E25" s="516" t="s">
        <v>376</v>
      </c>
      <c r="F25" s="521">
        <v>15771394.189999999</v>
      </c>
      <c r="G25" s="404">
        <v>4.875</v>
      </c>
      <c r="H25" s="493">
        <f t="shared" si="0"/>
        <v>768855.47</v>
      </c>
      <c r="I25" s="496"/>
      <c r="J25" s="497"/>
      <c r="K25" s="517" t="s">
        <v>375</v>
      </c>
      <c r="L25" s="518" t="s">
        <v>411</v>
      </c>
      <c r="R25" s="353"/>
      <c r="S25" s="353"/>
      <c r="T25" s="353"/>
      <c r="U25" s="353"/>
      <c r="V25" s="353"/>
    </row>
    <row r="26" spans="1:22" s="365" customFormat="1" x14ac:dyDescent="0.25">
      <c r="A26" s="519"/>
      <c r="B26" s="511" t="s">
        <v>412</v>
      </c>
      <c r="C26" s="516" t="s">
        <v>413</v>
      </c>
      <c r="D26" s="516" t="s">
        <v>414</v>
      </c>
      <c r="E26" s="516" t="s">
        <v>379</v>
      </c>
      <c r="F26" s="521">
        <v>45341416.159999996</v>
      </c>
      <c r="G26" s="404">
        <v>4.25</v>
      </c>
      <c r="H26" s="493">
        <f t="shared" si="0"/>
        <v>1927010.19</v>
      </c>
      <c r="I26" s="496"/>
      <c r="J26" s="497"/>
      <c r="K26" s="505" t="s">
        <v>375</v>
      </c>
      <c r="M26" s="337"/>
      <c r="R26" s="353"/>
      <c r="S26" s="353"/>
      <c r="T26" s="353"/>
      <c r="U26" s="353"/>
      <c r="V26" s="353"/>
    </row>
    <row r="27" spans="1:22" s="365" customFormat="1" x14ac:dyDescent="0.25">
      <c r="B27" s="511" t="s">
        <v>415</v>
      </c>
      <c r="C27" s="849">
        <v>43318</v>
      </c>
      <c r="D27" s="849">
        <v>45509</v>
      </c>
      <c r="E27" s="516" t="s">
        <v>379</v>
      </c>
      <c r="F27" s="521">
        <v>1500000</v>
      </c>
      <c r="G27" s="404">
        <v>4.875</v>
      </c>
      <c r="H27" s="493">
        <f t="shared" si="0"/>
        <v>73125</v>
      </c>
      <c r="I27" s="496"/>
      <c r="J27" s="497"/>
      <c r="K27" s="505" t="s">
        <v>375</v>
      </c>
      <c r="R27" s="353"/>
      <c r="S27" s="353"/>
      <c r="T27" s="353"/>
      <c r="U27" s="353"/>
      <c r="V27" s="353"/>
    </row>
    <row r="28" spans="1:22" s="520" customFormat="1" x14ac:dyDescent="0.25">
      <c r="B28" s="511" t="s">
        <v>416</v>
      </c>
      <c r="C28" s="849">
        <v>43340</v>
      </c>
      <c r="D28" s="849">
        <v>45530</v>
      </c>
      <c r="E28" s="516" t="s">
        <v>379</v>
      </c>
      <c r="F28" s="521">
        <v>16766916.210000001</v>
      </c>
      <c r="G28" s="412">
        <v>4.875</v>
      </c>
      <c r="H28" s="493">
        <f t="shared" si="0"/>
        <v>817387.17</v>
      </c>
      <c r="I28" s="522"/>
      <c r="J28" s="523"/>
      <c r="K28" s="505" t="s">
        <v>375</v>
      </c>
      <c r="L28" s="365"/>
      <c r="Q28" s="524"/>
      <c r="R28" s="524"/>
      <c r="S28" s="524"/>
      <c r="T28" s="524"/>
      <c r="U28" s="524"/>
    </row>
    <row r="29" spans="1:22" s="370" customFormat="1" x14ac:dyDescent="0.25">
      <c r="A29" s="365"/>
      <c r="B29" s="511" t="s">
        <v>417</v>
      </c>
      <c r="C29" s="849">
        <v>43017</v>
      </c>
      <c r="D29" s="516">
        <v>45574</v>
      </c>
      <c r="E29" s="516" t="s">
        <v>381</v>
      </c>
      <c r="F29" s="521">
        <v>4861764.57</v>
      </c>
      <c r="G29" s="404">
        <v>4.5</v>
      </c>
      <c r="H29" s="493">
        <f t="shared" si="0"/>
        <v>218779.41</v>
      </c>
      <c r="I29" s="496"/>
      <c r="J29" s="497"/>
      <c r="K29" s="505" t="s">
        <v>375</v>
      </c>
      <c r="L29" s="365"/>
      <c r="M29" s="365"/>
      <c r="R29" s="374"/>
      <c r="S29" s="374"/>
      <c r="T29" s="374"/>
      <c r="U29" s="374"/>
      <c r="V29" s="374"/>
    </row>
    <row r="30" spans="1:22" s="514" customFormat="1" x14ac:dyDescent="0.25">
      <c r="A30" s="512"/>
      <c r="B30" s="511" t="s">
        <v>418</v>
      </c>
      <c r="C30" s="849">
        <v>43815</v>
      </c>
      <c r="D30" s="516">
        <v>45642</v>
      </c>
      <c r="E30" s="516" t="s">
        <v>376</v>
      </c>
      <c r="F30" s="521">
        <v>2855756.38</v>
      </c>
      <c r="G30" s="404">
        <v>4</v>
      </c>
      <c r="H30" s="493">
        <f t="shared" si="0"/>
        <v>114230.26</v>
      </c>
      <c r="I30" s="496"/>
      <c r="J30" s="497"/>
      <c r="K30" s="513" t="s">
        <v>375</v>
      </c>
      <c r="L30" s="512" t="s">
        <v>409</v>
      </c>
      <c r="M30" s="512"/>
      <c r="R30" s="515"/>
      <c r="S30" s="515"/>
      <c r="T30" s="515"/>
      <c r="U30" s="515"/>
      <c r="V30" s="515"/>
    </row>
    <row r="31" spans="1:22" s="370" customFormat="1" x14ac:dyDescent="0.25">
      <c r="A31" s="365"/>
      <c r="B31" s="511" t="s">
        <v>419</v>
      </c>
      <c r="C31" s="849">
        <v>43511</v>
      </c>
      <c r="D31" s="516">
        <v>45702</v>
      </c>
      <c r="E31" s="516" t="s">
        <v>379</v>
      </c>
      <c r="F31" s="521">
        <v>37459445.329999998</v>
      </c>
      <c r="G31" s="404">
        <v>5</v>
      </c>
      <c r="H31" s="493">
        <f t="shared" si="0"/>
        <v>1872972.27</v>
      </c>
      <c r="I31" s="496"/>
      <c r="J31" s="497"/>
      <c r="K31" s="505" t="s">
        <v>375</v>
      </c>
      <c r="L31" s="365" t="s">
        <v>420</v>
      </c>
      <c r="M31" s="365"/>
      <c r="R31" s="374"/>
      <c r="S31" s="374"/>
      <c r="T31" s="374"/>
      <c r="U31" s="374"/>
      <c r="V31" s="374"/>
    </row>
    <row r="32" spans="1:22" s="370" customFormat="1" x14ac:dyDescent="0.25">
      <c r="A32" s="365"/>
      <c r="B32" s="511" t="s">
        <v>421</v>
      </c>
      <c r="C32" s="849">
        <v>43403</v>
      </c>
      <c r="D32" s="516">
        <v>45960</v>
      </c>
      <c r="E32" s="516" t="s">
        <v>381</v>
      </c>
      <c r="F32" s="521">
        <v>11728550.33</v>
      </c>
      <c r="G32" s="404">
        <v>5</v>
      </c>
      <c r="H32" s="493">
        <f>F32*G32/100</f>
        <v>586427.52</v>
      </c>
      <c r="I32" s="496"/>
      <c r="J32" s="497"/>
      <c r="K32" s="505" t="s">
        <v>375</v>
      </c>
      <c r="L32" s="365"/>
      <c r="M32" s="365"/>
      <c r="R32" s="374"/>
      <c r="S32" s="374"/>
      <c r="T32" s="374"/>
      <c r="U32" s="374"/>
      <c r="V32" s="374"/>
    </row>
    <row r="33" spans="1:22" s="365" customFormat="1" x14ac:dyDescent="0.25">
      <c r="B33" s="508" t="s">
        <v>422</v>
      </c>
      <c r="C33" s="509"/>
      <c r="D33" s="509"/>
      <c r="E33" s="509"/>
      <c r="F33" s="480">
        <f>SUM(F34:F34)</f>
        <v>20000000</v>
      </c>
      <c r="G33" s="367"/>
      <c r="H33" s="851">
        <f>SUM(H20:H32)</f>
        <v>11349519.26</v>
      </c>
      <c r="I33" s="852">
        <f>H33/F19</f>
        <v>4.6399999999999997E-2</v>
      </c>
      <c r="J33" s="368"/>
      <c r="R33" s="353"/>
      <c r="S33" s="353"/>
      <c r="T33" s="353"/>
      <c r="U33" s="353"/>
      <c r="V33" s="353"/>
    </row>
    <row r="34" spans="1:22" s="365" customFormat="1" x14ac:dyDescent="0.25">
      <c r="B34" s="414">
        <v>258903543</v>
      </c>
      <c r="C34" s="401">
        <v>42278</v>
      </c>
      <c r="D34" s="407">
        <v>44837</v>
      </c>
      <c r="E34" s="402" t="s">
        <v>381</v>
      </c>
      <c r="F34" s="403">
        <v>20000000</v>
      </c>
      <c r="G34" s="404">
        <v>5.5</v>
      </c>
      <c r="H34" s="493">
        <f t="shared" si="0"/>
        <v>1100000</v>
      </c>
      <c r="I34" s="496"/>
      <c r="J34" s="497"/>
      <c r="K34" s="505" t="s">
        <v>375</v>
      </c>
      <c r="R34" s="353"/>
      <c r="S34" s="353"/>
      <c r="T34" s="353"/>
      <c r="U34" s="353"/>
      <c r="V34" s="353"/>
    </row>
    <row r="35" spans="1:22" s="365" customFormat="1" x14ac:dyDescent="0.25">
      <c r="B35" s="527" t="s">
        <v>423</v>
      </c>
      <c r="C35" s="528"/>
      <c r="D35" s="528"/>
      <c r="E35" s="528"/>
      <c r="F35" s="366">
        <f>SUM(F36:F36)</f>
        <v>24278406.989999998</v>
      </c>
      <c r="G35" s="367"/>
      <c r="H35" s="493"/>
      <c r="I35" s="525"/>
      <c r="J35" s="368"/>
      <c r="R35" s="353"/>
      <c r="S35" s="353"/>
      <c r="T35" s="353"/>
      <c r="U35" s="353"/>
      <c r="V35" s="353"/>
    </row>
    <row r="36" spans="1:22" s="365" customFormat="1" x14ac:dyDescent="0.25">
      <c r="A36" s="519"/>
      <c r="B36" s="414">
        <v>50401687976</v>
      </c>
      <c r="C36" s="401">
        <v>42333</v>
      </c>
      <c r="D36" s="407">
        <v>45253</v>
      </c>
      <c r="E36" s="402" t="s">
        <v>383</v>
      </c>
      <c r="F36" s="403">
        <v>24278406.989999998</v>
      </c>
      <c r="G36" s="404">
        <v>5.4</v>
      </c>
      <c r="H36" s="493">
        <f t="shared" si="0"/>
        <v>1311033.98</v>
      </c>
      <c r="I36" s="496"/>
      <c r="J36" s="497"/>
      <c r="K36" s="505" t="s">
        <v>375</v>
      </c>
      <c r="R36" s="353"/>
      <c r="S36" s="353"/>
      <c r="T36" s="353"/>
      <c r="U36" s="353"/>
      <c r="V36" s="353"/>
    </row>
    <row r="37" spans="1:22" s="365" customFormat="1" x14ac:dyDescent="0.25">
      <c r="B37" s="527" t="s">
        <v>424</v>
      </c>
      <c r="C37" s="528"/>
      <c r="D37" s="528"/>
      <c r="E37" s="528"/>
      <c r="F37" s="366">
        <f>SUM(F38:F38)</f>
        <v>25000000</v>
      </c>
      <c r="G37" s="369"/>
      <c r="H37" s="493"/>
      <c r="I37" s="525"/>
      <c r="J37" s="368"/>
      <c r="R37" s="353"/>
      <c r="S37" s="353"/>
      <c r="T37" s="353"/>
      <c r="U37" s="353"/>
      <c r="V37" s="353"/>
    </row>
    <row r="38" spans="1:22" s="365" customFormat="1" x14ac:dyDescent="0.25">
      <c r="B38" s="414">
        <v>202121699</v>
      </c>
      <c r="C38" s="401">
        <v>42356</v>
      </c>
      <c r="D38" s="407">
        <v>45278</v>
      </c>
      <c r="E38" s="402" t="s">
        <v>376</v>
      </c>
      <c r="F38" s="403">
        <v>25000000</v>
      </c>
      <c r="G38" s="404">
        <v>5</v>
      </c>
      <c r="H38" s="493">
        <f t="shared" si="0"/>
        <v>1250000</v>
      </c>
      <c r="I38" s="496"/>
      <c r="J38" s="497"/>
      <c r="K38" s="505" t="s">
        <v>375</v>
      </c>
      <c r="R38" s="353"/>
      <c r="S38" s="353"/>
      <c r="T38" s="353"/>
      <c r="U38" s="353"/>
      <c r="V38" s="353"/>
    </row>
    <row r="39" spans="1:22" s="365" customFormat="1" x14ac:dyDescent="0.25">
      <c r="B39" s="924"/>
      <c r="C39" s="925"/>
      <c r="D39" s="925"/>
      <c r="E39" s="925"/>
      <c r="F39" s="925"/>
      <c r="G39" s="926"/>
      <c r="H39" s="927"/>
      <c r="I39" s="928"/>
      <c r="J39" s="927"/>
      <c r="K39" s="925"/>
      <c r="R39" s="353"/>
      <c r="S39" s="353"/>
      <c r="T39" s="353"/>
      <c r="U39" s="353"/>
      <c r="V39" s="353"/>
    </row>
    <row r="40" spans="1:22" s="365" customFormat="1" hidden="1" x14ac:dyDescent="0.25">
      <c r="B40" s="924"/>
      <c r="C40" s="925"/>
      <c r="D40" s="925"/>
      <c r="E40" s="925"/>
      <c r="F40" s="925"/>
      <c r="G40" s="929"/>
      <c r="H40" s="927"/>
      <c r="I40" s="928"/>
      <c r="J40" s="927"/>
      <c r="K40" s="925"/>
      <c r="R40" s="353"/>
      <c r="S40" s="353"/>
      <c r="T40" s="353"/>
      <c r="U40" s="353"/>
      <c r="V40" s="353"/>
    </row>
    <row r="41" spans="1:22" s="839" customFormat="1" ht="14" x14ac:dyDescent="0.25">
      <c r="B41" s="930"/>
      <c r="C41" s="931"/>
      <c r="D41" s="932"/>
      <c r="E41" s="932"/>
      <c r="F41" s="933"/>
      <c r="G41" s="934"/>
      <c r="H41" s="935"/>
      <c r="I41" s="936"/>
      <c r="J41" s="935"/>
      <c r="R41" s="838"/>
      <c r="S41" s="838"/>
      <c r="T41" s="838"/>
      <c r="U41" s="838"/>
      <c r="V41" s="838"/>
    </row>
    <row r="42" spans="1:22" s="937" customFormat="1" ht="14" x14ac:dyDescent="0.3">
      <c r="B42" s="938" t="str">
        <f>[10]SEGUROS!$B$51</f>
        <v xml:space="preserve">FUENTE: DEPTO DE TESORERIA - DNF </v>
      </c>
      <c r="C42" s="939"/>
      <c r="D42" s="939"/>
      <c r="E42" s="939"/>
      <c r="F42" s="939"/>
      <c r="G42" s="940"/>
      <c r="H42" s="941">
        <f>SUM(H34:H41)</f>
        <v>3661033.98</v>
      </c>
      <c r="I42" s="942">
        <f>H42/J42</f>
        <v>5.28E-2</v>
      </c>
      <c r="J42" s="941">
        <f>F34+F36+F38</f>
        <v>69278406.989999995</v>
      </c>
      <c r="K42" s="943"/>
      <c r="L42" s="943"/>
      <c r="M42" s="943"/>
      <c r="R42" s="944"/>
      <c r="S42" s="944"/>
      <c r="T42" s="944"/>
      <c r="U42" s="944"/>
      <c r="V42" s="944"/>
    </row>
    <row r="43" spans="1:22" s="937" customFormat="1" ht="14" x14ac:dyDescent="0.3">
      <c r="B43" s="945">
        <f>'[10]VENC. '!$B$176</f>
        <v>44839</v>
      </c>
      <c r="C43" s="946"/>
      <c r="D43" s="946"/>
      <c r="E43" s="946"/>
      <c r="F43" s="946"/>
      <c r="G43" s="947"/>
      <c r="H43" s="948"/>
      <c r="I43" s="949"/>
      <c r="J43" s="948"/>
      <c r="K43" s="839"/>
      <c r="L43" s="891"/>
      <c r="M43" s="891"/>
      <c r="R43" s="944"/>
      <c r="S43" s="944"/>
      <c r="T43" s="944"/>
      <c r="U43" s="944"/>
      <c r="V43" s="944"/>
    </row>
    <row r="44" spans="1:22" s="937" customFormat="1" ht="14" x14ac:dyDescent="0.3">
      <c r="B44" s="945"/>
      <c r="C44" s="946"/>
      <c r="D44" s="946"/>
      <c r="E44" s="946"/>
      <c r="F44" s="946"/>
      <c r="G44" s="947"/>
      <c r="H44" s="948"/>
      <c r="I44" s="949"/>
      <c r="J44" s="948"/>
      <c r="K44" s="839"/>
      <c r="L44" s="891"/>
      <c r="M44" s="891"/>
      <c r="R44" s="944"/>
      <c r="S44" s="944"/>
      <c r="T44" s="944"/>
      <c r="U44" s="944"/>
      <c r="V44" s="944"/>
    </row>
    <row r="45" spans="1:22" s="937" customFormat="1" ht="14" x14ac:dyDescent="0.3">
      <c r="B45" s="950" t="str">
        <f>'[10]VENC. '!B$177</f>
        <v>Preparado por:    _______________________________________</v>
      </c>
      <c r="C45" s="951"/>
      <c r="D45" s="1704" t="str">
        <f>'[10]VENC. '!D$177</f>
        <v>Revisado por:      ___________________________________</v>
      </c>
      <c r="E45" s="1704"/>
      <c r="F45" s="1704"/>
      <c r="G45" s="1705"/>
      <c r="H45" s="952"/>
      <c r="I45" s="953"/>
      <c r="J45" s="952"/>
      <c r="K45" s="839"/>
      <c r="L45" s="891"/>
      <c r="M45" s="891"/>
      <c r="R45" s="944"/>
      <c r="S45" s="944"/>
      <c r="T45" s="944"/>
      <c r="U45" s="944"/>
      <c r="V45" s="944"/>
    </row>
    <row r="46" spans="1:22" s="937" customFormat="1" ht="14" x14ac:dyDescent="0.3">
      <c r="B46" s="1706" t="str">
        <f>'[10]VENC. '!B$178</f>
        <v>Liz Mayta</v>
      </c>
      <c r="C46" s="1704"/>
      <c r="D46" s="1704" t="str">
        <f>'[10]VENC. '!D$178</f>
        <v xml:space="preserve"> Julio Pérez</v>
      </c>
      <c r="E46" s="1704"/>
      <c r="F46" s="1704"/>
      <c r="G46" s="1705"/>
      <c r="H46" s="952"/>
      <c r="I46" s="953"/>
      <c r="J46" s="952"/>
      <c r="K46" s="839"/>
      <c r="L46" s="891"/>
      <c r="M46" s="891"/>
      <c r="R46" s="944"/>
      <c r="S46" s="944"/>
      <c r="T46" s="944"/>
      <c r="U46" s="944"/>
      <c r="V46" s="944"/>
    </row>
    <row r="47" spans="1:22" s="937" customFormat="1" ht="14" x14ac:dyDescent="0.3">
      <c r="B47" s="1699" t="str">
        <f>'[10]VENC. '!B$179</f>
        <v>Analista de Presupuesto</v>
      </c>
      <c r="C47" s="1700"/>
      <c r="D47" s="1700" t="str">
        <f>'[10]VENC. '!D$179</f>
        <v>Jefe Encargado de la Sección de Análisis y Programación Financiera</v>
      </c>
      <c r="E47" s="1700"/>
      <c r="F47" s="1700"/>
      <c r="G47" s="1701"/>
      <c r="H47" s="952"/>
      <c r="I47" s="953"/>
      <c r="J47" s="952"/>
      <c r="K47" s="839"/>
      <c r="L47" s="891"/>
      <c r="M47" s="891"/>
      <c r="R47" s="944"/>
      <c r="S47" s="944"/>
      <c r="T47" s="944"/>
      <c r="U47" s="944"/>
      <c r="V47" s="944"/>
    </row>
    <row r="48" spans="1:22" s="937" customFormat="1" ht="14" x14ac:dyDescent="0.3">
      <c r="B48" s="951"/>
      <c r="C48" s="951"/>
      <c r="D48" s="951"/>
      <c r="E48" s="951"/>
      <c r="F48" s="951"/>
      <c r="G48" s="954"/>
      <c r="H48" s="952"/>
      <c r="I48" s="953"/>
      <c r="J48" s="952"/>
      <c r="K48" s="839"/>
      <c r="L48" s="891"/>
      <c r="M48" s="891"/>
      <c r="R48" s="944"/>
      <c r="S48" s="944"/>
      <c r="T48" s="944"/>
      <c r="U48" s="944"/>
      <c r="V48" s="944"/>
    </row>
  </sheetData>
  <mergeCells count="20">
    <mergeCell ref="M7:R8"/>
    <mergeCell ref="B10:E10"/>
    <mergeCell ref="D45:G45"/>
    <mergeCell ref="B46:C46"/>
    <mergeCell ref="D46:G46"/>
    <mergeCell ref="K7:K9"/>
    <mergeCell ref="B47:C47"/>
    <mergeCell ref="D47:G47"/>
    <mergeCell ref="B7:B9"/>
    <mergeCell ref="C7:D8"/>
    <mergeCell ref="E7:E9"/>
    <mergeCell ref="F7:F8"/>
    <mergeCell ref="G7:G9"/>
    <mergeCell ref="N1:R1"/>
    <mergeCell ref="B3:G3"/>
    <mergeCell ref="M3:R3"/>
    <mergeCell ref="B4:G4"/>
    <mergeCell ref="M4:M6"/>
    <mergeCell ref="B5:G5"/>
    <mergeCell ref="B6:G6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V41"/>
  <sheetViews>
    <sheetView workbookViewId="0">
      <selection activeCell="I32" sqref="I32"/>
    </sheetView>
  </sheetViews>
  <sheetFormatPr baseColWidth="10" defaultColWidth="21.1796875" defaultRowHeight="15.5" x14ac:dyDescent="0.35"/>
  <cols>
    <col min="1" max="1" width="8.54296875" style="355" customWidth="1"/>
    <col min="2" max="2" width="25" style="453" customWidth="1"/>
    <col min="3" max="3" width="16.54296875" style="453" customWidth="1"/>
    <col min="4" max="4" width="19.1796875" style="453" customWidth="1"/>
    <col min="5" max="5" width="12.26953125" style="453" customWidth="1"/>
    <col min="6" max="6" width="26.81640625" style="453" customWidth="1"/>
    <col min="7" max="7" width="23" style="344" customWidth="1"/>
    <col min="8" max="8" width="23" style="343" customWidth="1"/>
    <col min="9" max="9" width="23" style="892" customWidth="1"/>
    <col min="10" max="10" width="23" style="343" customWidth="1"/>
    <col min="11" max="11" width="35.1796875" style="891" customWidth="1"/>
    <col min="12" max="12" width="15.81640625" style="358" customWidth="1"/>
    <col min="13" max="13" width="21.1796875" style="358"/>
    <col min="14" max="17" width="21.1796875" style="355"/>
    <col min="18" max="22" width="21.1796875" style="359"/>
    <col min="23" max="16384" width="21.1796875" style="355"/>
  </cols>
  <sheetData>
    <row r="1" spans="1:22" s="331" customFormat="1" x14ac:dyDescent="0.25">
      <c r="B1" s="956"/>
      <c r="C1" s="957"/>
      <c r="D1" s="957"/>
      <c r="E1" s="957"/>
      <c r="F1" s="957"/>
      <c r="G1" s="958" t="s">
        <v>425</v>
      </c>
      <c r="H1" s="343"/>
      <c r="I1" s="892"/>
      <c r="J1" s="343"/>
      <c r="K1" s="833"/>
      <c r="L1" s="337"/>
      <c r="M1" s="338"/>
      <c r="N1" s="1654"/>
      <c r="O1" s="1654"/>
      <c r="P1" s="1654"/>
      <c r="Q1" s="1654"/>
      <c r="R1" s="1654"/>
      <c r="S1" s="340"/>
      <c r="T1" s="340"/>
      <c r="U1" s="340"/>
      <c r="V1" s="340"/>
    </row>
    <row r="2" spans="1:22" s="341" customFormat="1" x14ac:dyDescent="0.25">
      <c r="B2" s="1655" t="s">
        <v>0</v>
      </c>
      <c r="C2" s="1656"/>
      <c r="D2" s="1656"/>
      <c r="E2" s="1656"/>
      <c r="F2" s="1656"/>
      <c r="G2" s="1657"/>
      <c r="H2" s="343"/>
      <c r="I2" s="892"/>
      <c r="J2" s="343"/>
      <c r="K2" s="834"/>
      <c r="L2" s="345"/>
      <c r="M2" s="1658"/>
      <c r="N2" s="1658"/>
      <c r="O2" s="1658"/>
      <c r="P2" s="1658"/>
      <c r="Q2" s="1658"/>
      <c r="R2" s="1658"/>
      <c r="S2" s="346"/>
      <c r="T2" s="346"/>
      <c r="U2" s="346"/>
      <c r="V2" s="346"/>
    </row>
    <row r="3" spans="1:22" s="352" customFormat="1" x14ac:dyDescent="0.25">
      <c r="A3" s="347"/>
      <c r="B3" s="1659" t="s">
        <v>426</v>
      </c>
      <c r="C3" s="1660"/>
      <c r="D3" s="1660"/>
      <c r="E3" s="1660"/>
      <c r="F3" s="1660"/>
      <c r="G3" s="1661"/>
      <c r="H3" s="348"/>
      <c r="I3" s="959"/>
      <c r="J3" s="348"/>
      <c r="K3" s="835"/>
      <c r="L3" s="350"/>
      <c r="M3" s="1662"/>
      <c r="N3" s="351"/>
      <c r="O3" s="351"/>
      <c r="P3" s="351"/>
      <c r="Q3" s="351"/>
      <c r="R3" s="351"/>
      <c r="S3" s="346"/>
      <c r="T3" s="346"/>
      <c r="U3" s="346"/>
      <c r="V3" s="347"/>
    </row>
    <row r="4" spans="1:22" s="352" customFormat="1" x14ac:dyDescent="0.25">
      <c r="A4" s="347"/>
      <c r="B4" s="1659" t="s">
        <v>427</v>
      </c>
      <c r="C4" s="1660"/>
      <c r="D4" s="1660"/>
      <c r="E4" s="1660"/>
      <c r="F4" s="1660"/>
      <c r="G4" s="1661"/>
      <c r="H4" s="348"/>
      <c r="I4" s="959"/>
      <c r="J4" s="348"/>
      <c r="K4" s="835"/>
      <c r="L4" s="350"/>
      <c r="M4" s="1662"/>
      <c r="N4" s="351"/>
      <c r="O4" s="351"/>
      <c r="P4" s="351"/>
      <c r="Q4" s="351"/>
      <c r="R4" s="351"/>
      <c r="S4" s="346"/>
      <c r="T4" s="346"/>
      <c r="U4" s="346"/>
      <c r="V4" s="347"/>
    </row>
    <row r="5" spans="1:22" s="341" customFormat="1" x14ac:dyDescent="0.25">
      <c r="B5" s="1663" t="str">
        <f>'[10]VENC. '!$B$4</f>
        <v xml:space="preserve"> AL 30 DE SEPTIEMBRE  2022</v>
      </c>
      <c r="C5" s="1664"/>
      <c r="D5" s="1664"/>
      <c r="E5" s="1664"/>
      <c r="F5" s="1664"/>
      <c r="G5" s="1665"/>
      <c r="H5" s="343"/>
      <c r="I5" s="892"/>
      <c r="J5" s="343"/>
      <c r="K5" s="835"/>
      <c r="L5" s="350"/>
      <c r="M5" s="1662"/>
      <c r="N5" s="353"/>
      <c r="O5" s="353"/>
      <c r="P5" s="345"/>
      <c r="Q5" s="345"/>
      <c r="R5" s="354"/>
      <c r="S5" s="346"/>
      <c r="T5" s="346"/>
      <c r="U5" s="346"/>
      <c r="V5" s="346"/>
    </row>
    <row r="6" spans="1:22" x14ac:dyDescent="0.35">
      <c r="B6" s="1649" t="s">
        <v>362</v>
      </c>
      <c r="C6" s="1659" t="s">
        <v>363</v>
      </c>
      <c r="D6" s="1661"/>
      <c r="E6" s="1649" t="s">
        <v>364</v>
      </c>
      <c r="F6" s="1649" t="s">
        <v>365</v>
      </c>
      <c r="G6" s="1649" t="s">
        <v>366</v>
      </c>
      <c r="H6" s="356"/>
      <c r="I6" s="836"/>
      <c r="J6" s="356"/>
      <c r="K6" s="1696" t="s">
        <v>367</v>
      </c>
      <c r="M6" s="1640"/>
      <c r="N6" s="1640"/>
      <c r="O6" s="1640"/>
      <c r="P6" s="1640"/>
      <c r="Q6" s="1640"/>
      <c r="R6" s="1640"/>
    </row>
    <row r="7" spans="1:22" x14ac:dyDescent="0.35">
      <c r="B7" s="1649"/>
      <c r="C7" s="1659"/>
      <c r="D7" s="1661"/>
      <c r="E7" s="1649"/>
      <c r="F7" s="1649"/>
      <c r="G7" s="1649"/>
      <c r="H7" s="356"/>
      <c r="I7" s="836"/>
      <c r="J7" s="356"/>
      <c r="K7" s="1697"/>
      <c r="M7" s="1640"/>
      <c r="N7" s="1640"/>
      <c r="O7" s="1640"/>
      <c r="P7" s="1640"/>
      <c r="Q7" s="1640"/>
      <c r="R7" s="1640"/>
    </row>
    <row r="8" spans="1:22" x14ac:dyDescent="0.35">
      <c r="B8" s="1650"/>
      <c r="C8" s="960" t="s">
        <v>368</v>
      </c>
      <c r="D8" s="961" t="s">
        <v>369</v>
      </c>
      <c r="E8" s="1650"/>
      <c r="F8" s="364" t="s">
        <v>370</v>
      </c>
      <c r="G8" s="1650"/>
      <c r="H8" s="363"/>
      <c r="I8" s="837"/>
      <c r="J8" s="363"/>
      <c r="K8" s="1698"/>
      <c r="L8" s="353"/>
      <c r="M8" s="354">
        <f>'[10]VENC. '!$G$6</f>
        <v>5353236648.5100002</v>
      </c>
      <c r="N8" s="338"/>
      <c r="O8" s="338"/>
      <c r="P8" s="338"/>
      <c r="Q8" s="338"/>
      <c r="R8" s="338"/>
      <c r="S8" s="340"/>
    </row>
    <row r="9" spans="1:22" s="370" customFormat="1" x14ac:dyDescent="0.25">
      <c r="B9" s="548"/>
      <c r="C9" s="372"/>
      <c r="D9" s="372"/>
      <c r="E9" s="372"/>
      <c r="F9" s="373"/>
      <c r="G9" s="342"/>
      <c r="H9" s="343"/>
      <c r="I9" s="892"/>
      <c r="J9" s="343"/>
      <c r="K9" s="838"/>
      <c r="L9" s="353"/>
      <c r="M9" s="549"/>
      <c r="N9" s="550"/>
      <c r="O9" s="550"/>
      <c r="P9" s="550"/>
      <c r="Q9" s="550"/>
      <c r="R9" s="550"/>
      <c r="S9" s="374"/>
      <c r="T9" s="374"/>
      <c r="U9" s="374"/>
      <c r="V9" s="374"/>
    </row>
    <row r="10" spans="1:22" s="365" customFormat="1" x14ac:dyDescent="0.25">
      <c r="B10" s="1641" t="s">
        <v>428</v>
      </c>
      <c r="C10" s="1642"/>
      <c r="D10" s="1642"/>
      <c r="E10" s="1642"/>
      <c r="F10" s="366">
        <f>SUM(F11+F26)</f>
        <v>1087416431.23</v>
      </c>
      <c r="G10" s="367"/>
      <c r="H10" s="368"/>
      <c r="I10" s="525"/>
      <c r="J10" s="368"/>
      <c r="K10" s="839"/>
      <c r="R10" s="353"/>
      <c r="S10" s="353"/>
      <c r="T10" s="353"/>
      <c r="U10" s="353"/>
      <c r="V10" s="353"/>
    </row>
    <row r="11" spans="1:22" s="365" customFormat="1" x14ac:dyDescent="0.25">
      <c r="B11" s="551" t="s">
        <v>372</v>
      </c>
      <c r="C11" s="453"/>
      <c r="D11" s="344"/>
      <c r="E11" s="344"/>
      <c r="F11" s="373">
        <f>SUM(F12:F25)</f>
        <v>1062258581.49</v>
      </c>
      <c r="G11" s="367"/>
      <c r="H11" s="368"/>
      <c r="I11" s="525"/>
      <c r="J11" s="368"/>
      <c r="K11" s="962"/>
      <c r="L11" s="552"/>
      <c r="R11" s="353"/>
      <c r="S11" s="353"/>
      <c r="T11" s="353"/>
      <c r="U11" s="353"/>
      <c r="V11" s="353"/>
    </row>
    <row r="12" spans="1:22" s="840" customFormat="1" x14ac:dyDescent="0.25">
      <c r="B12" s="487">
        <v>150000127139</v>
      </c>
      <c r="C12" s="841">
        <v>44834</v>
      </c>
      <c r="D12" s="842">
        <v>44837</v>
      </c>
      <c r="E12" s="843" t="s">
        <v>562</v>
      </c>
      <c r="F12" s="710">
        <v>2000000</v>
      </c>
      <c r="G12" s="492">
        <v>1.1000000000000001</v>
      </c>
      <c r="H12" s="493">
        <f>(F12*G12/100)</f>
        <v>22000</v>
      </c>
      <c r="I12" s="494"/>
      <c r="J12" s="493"/>
      <c r="K12" s="963" t="s">
        <v>375</v>
      </c>
      <c r="L12" s="964"/>
      <c r="R12" s="846"/>
      <c r="S12" s="846"/>
      <c r="T12" s="846"/>
      <c r="U12" s="846"/>
      <c r="V12" s="846"/>
    </row>
    <row r="13" spans="1:22" s="840" customFormat="1" x14ac:dyDescent="0.25">
      <c r="B13" s="965">
        <v>110000082685</v>
      </c>
      <c r="C13" s="824">
        <v>44798</v>
      </c>
      <c r="D13" s="823">
        <v>44888</v>
      </c>
      <c r="E13" s="966" t="s">
        <v>556</v>
      </c>
      <c r="F13" s="825">
        <v>16544739.800000001</v>
      </c>
      <c r="G13" s="967">
        <v>2.25</v>
      </c>
      <c r="H13" s="493">
        <f t="shared" ref="H13:H20" si="0">F13*G13/100</f>
        <v>372256.65</v>
      </c>
      <c r="I13" s="968"/>
      <c r="J13" s="969"/>
      <c r="K13" s="970" t="s">
        <v>375</v>
      </c>
      <c r="L13" s="964"/>
      <c r="R13" s="846"/>
      <c r="S13" s="846"/>
      <c r="T13" s="846"/>
      <c r="U13" s="846"/>
      <c r="V13" s="846"/>
    </row>
    <row r="14" spans="1:22" s="971" customFormat="1" x14ac:dyDescent="0.25">
      <c r="B14" s="965">
        <v>150000125985</v>
      </c>
      <c r="C14" s="824">
        <v>44817</v>
      </c>
      <c r="D14" s="823">
        <v>44844</v>
      </c>
      <c r="E14" s="966" t="s">
        <v>554</v>
      </c>
      <c r="F14" s="825">
        <v>1530614.84</v>
      </c>
      <c r="G14" s="967">
        <v>1.75</v>
      </c>
      <c r="H14" s="493">
        <f t="shared" si="0"/>
        <v>26785.759999999998</v>
      </c>
      <c r="I14" s="968"/>
      <c r="J14" s="969"/>
      <c r="K14" s="972" t="s">
        <v>375</v>
      </c>
      <c r="L14" s="973" t="s">
        <v>575</v>
      </c>
      <c r="M14" s="973"/>
      <c r="R14" s="974"/>
      <c r="S14" s="974"/>
      <c r="T14" s="974"/>
      <c r="U14" s="974"/>
      <c r="V14" s="974"/>
    </row>
    <row r="15" spans="1:22" s="910" customFormat="1" x14ac:dyDescent="0.25">
      <c r="B15" s="911">
        <v>110000082228</v>
      </c>
      <c r="C15" s="912">
        <v>44760</v>
      </c>
      <c r="D15" s="912">
        <v>44851</v>
      </c>
      <c r="E15" s="912" t="s">
        <v>557</v>
      </c>
      <c r="F15" s="914">
        <f>12611.46+12611.46+12611.46+12611.46</f>
        <v>50445.84</v>
      </c>
      <c r="G15" s="975">
        <v>0.75</v>
      </c>
      <c r="H15" s="493">
        <f t="shared" si="0"/>
        <v>378.34</v>
      </c>
      <c r="I15" s="916"/>
      <c r="J15" s="917"/>
      <c r="K15" s="976" t="s">
        <v>375</v>
      </c>
      <c r="L15" s="977"/>
      <c r="R15" s="978"/>
      <c r="S15" s="978"/>
      <c r="T15" s="978"/>
      <c r="U15" s="978"/>
      <c r="V15" s="978"/>
    </row>
    <row r="16" spans="1:22" s="910" customFormat="1" x14ac:dyDescent="0.25">
      <c r="B16" s="911">
        <v>110000082237</v>
      </c>
      <c r="C16" s="912">
        <v>44760</v>
      </c>
      <c r="D16" s="912">
        <v>44851</v>
      </c>
      <c r="E16" s="912" t="s">
        <v>557</v>
      </c>
      <c r="F16" s="914">
        <f>375000-2676.81-2676.81-2676.81-2676.81</f>
        <v>364292.76</v>
      </c>
      <c r="G16" s="975">
        <v>0.75</v>
      </c>
      <c r="H16" s="493">
        <f t="shared" si="0"/>
        <v>2732.2</v>
      </c>
      <c r="I16" s="916"/>
      <c r="J16" s="917"/>
      <c r="K16" s="976" t="s">
        <v>375</v>
      </c>
      <c r="L16" s="977"/>
      <c r="R16" s="978"/>
      <c r="S16" s="978"/>
      <c r="T16" s="978"/>
      <c r="U16" s="978"/>
      <c r="V16" s="978"/>
    </row>
    <row r="17" spans="2:22" s="971" customFormat="1" x14ac:dyDescent="0.25">
      <c r="B17" s="562">
        <v>110000082863</v>
      </c>
      <c r="C17" s="726">
        <v>44819</v>
      </c>
      <c r="D17" s="820">
        <v>44909</v>
      </c>
      <c r="E17" s="724" t="s">
        <v>556</v>
      </c>
      <c r="F17" s="725">
        <v>2543896.91</v>
      </c>
      <c r="G17" s="721">
        <v>2.25</v>
      </c>
      <c r="H17" s="493">
        <f t="shared" si="0"/>
        <v>57237.68</v>
      </c>
      <c r="I17" s="863"/>
      <c r="J17" s="617"/>
      <c r="K17" s="972" t="s">
        <v>375</v>
      </c>
      <c r="L17" s="973" t="s">
        <v>575</v>
      </c>
      <c r="M17" s="973"/>
      <c r="R17" s="974"/>
      <c r="S17" s="974"/>
      <c r="T17" s="974"/>
      <c r="U17" s="974"/>
      <c r="V17" s="974"/>
    </row>
    <row r="18" spans="2:22" s="971" customFormat="1" x14ac:dyDescent="0.25">
      <c r="B18" s="562">
        <v>110000083243</v>
      </c>
      <c r="C18" s="726">
        <v>44834</v>
      </c>
      <c r="D18" s="820">
        <v>44924</v>
      </c>
      <c r="E18" s="724" t="s">
        <v>556</v>
      </c>
      <c r="F18" s="725">
        <v>4538598.16</v>
      </c>
      <c r="G18" s="721">
        <v>2.25</v>
      </c>
      <c r="H18" s="493">
        <f t="shared" si="0"/>
        <v>102118.46</v>
      </c>
      <c r="I18" s="863"/>
      <c r="J18" s="617"/>
      <c r="K18" s="972" t="s">
        <v>375</v>
      </c>
      <c r="L18" s="973" t="s">
        <v>575</v>
      </c>
      <c r="M18" s="973"/>
      <c r="R18" s="974"/>
      <c r="S18" s="974"/>
      <c r="T18" s="974"/>
      <c r="U18" s="974"/>
      <c r="V18" s="974"/>
    </row>
    <row r="19" spans="2:22" s="971" customFormat="1" x14ac:dyDescent="0.25">
      <c r="B19" s="562">
        <v>150000127200</v>
      </c>
      <c r="C19" s="726">
        <v>44834</v>
      </c>
      <c r="D19" s="820">
        <v>44837</v>
      </c>
      <c r="E19" s="724" t="s">
        <v>562</v>
      </c>
      <c r="F19" s="725">
        <v>108616256.37</v>
      </c>
      <c r="G19" s="721">
        <v>1.1000000000000001</v>
      </c>
      <c r="H19" s="493">
        <f t="shared" si="0"/>
        <v>1194778.82</v>
      </c>
      <c r="I19" s="863"/>
      <c r="J19" s="617"/>
      <c r="K19" s="963" t="s">
        <v>375</v>
      </c>
      <c r="L19" s="973"/>
      <c r="M19" s="973"/>
      <c r="R19" s="974"/>
      <c r="S19" s="974"/>
      <c r="T19" s="974"/>
      <c r="U19" s="974"/>
      <c r="V19" s="974"/>
    </row>
    <row r="20" spans="2:22" s="971" customFormat="1" x14ac:dyDescent="0.25">
      <c r="B20" s="562">
        <v>150000127219</v>
      </c>
      <c r="C20" s="726">
        <v>44834</v>
      </c>
      <c r="D20" s="820">
        <v>44837</v>
      </c>
      <c r="E20" s="724" t="s">
        <v>562</v>
      </c>
      <c r="F20" s="725">
        <v>100000000</v>
      </c>
      <c r="G20" s="721">
        <v>1.1000000000000001</v>
      </c>
      <c r="H20" s="493">
        <f t="shared" si="0"/>
        <v>1100000</v>
      </c>
      <c r="I20" s="863"/>
      <c r="J20" s="617"/>
      <c r="K20" s="963" t="s">
        <v>375</v>
      </c>
      <c r="L20" s="973"/>
      <c r="M20" s="973"/>
      <c r="R20" s="974"/>
      <c r="S20" s="974"/>
      <c r="T20" s="974"/>
      <c r="U20" s="974"/>
      <c r="V20" s="974"/>
    </row>
    <row r="21" spans="2:22" s="971" customFormat="1" x14ac:dyDescent="0.25">
      <c r="B21" s="562">
        <v>110000083252</v>
      </c>
      <c r="C21" s="726">
        <v>44834</v>
      </c>
      <c r="D21" s="820">
        <v>44894</v>
      </c>
      <c r="E21" s="724" t="s">
        <v>576</v>
      </c>
      <c r="F21" s="725">
        <v>302157258.75999999</v>
      </c>
      <c r="G21" s="721">
        <v>2</v>
      </c>
      <c r="H21" s="493">
        <f t="shared" ref="H21:H30" si="1">F21*G21/100</f>
        <v>6043145.1799999997</v>
      </c>
      <c r="I21" s="863"/>
      <c r="J21" s="617"/>
      <c r="K21" s="979" t="s">
        <v>429</v>
      </c>
      <c r="L21" s="973"/>
      <c r="M21" s="973"/>
      <c r="R21" s="974"/>
      <c r="S21" s="974"/>
      <c r="T21" s="974"/>
      <c r="U21" s="974"/>
      <c r="V21" s="974"/>
    </row>
    <row r="22" spans="2:22" s="365" customFormat="1" x14ac:dyDescent="0.25">
      <c r="B22" s="980">
        <v>110000083172</v>
      </c>
      <c r="C22" s="724">
        <v>44831</v>
      </c>
      <c r="D22" s="856">
        <v>45103</v>
      </c>
      <c r="E22" s="724" t="s">
        <v>577</v>
      </c>
      <c r="F22" s="981">
        <v>25222.92</v>
      </c>
      <c r="G22" s="557">
        <v>2.65</v>
      </c>
      <c r="H22" s="493">
        <f t="shared" si="1"/>
        <v>668.41</v>
      </c>
      <c r="I22" s="982"/>
      <c r="J22" s="983"/>
      <c r="K22" s="979" t="s">
        <v>429</v>
      </c>
      <c r="L22" s="552"/>
      <c r="R22" s="353"/>
      <c r="S22" s="353"/>
      <c r="T22" s="353"/>
      <c r="U22" s="353"/>
      <c r="V22" s="353"/>
    </row>
    <row r="23" spans="2:22" s="365" customFormat="1" x14ac:dyDescent="0.25">
      <c r="B23" s="559">
        <v>110000083181</v>
      </c>
      <c r="C23" s="724">
        <v>44831</v>
      </c>
      <c r="D23" s="856">
        <v>45103</v>
      </c>
      <c r="E23" s="724" t="s">
        <v>577</v>
      </c>
      <c r="F23" s="857">
        <v>12500000</v>
      </c>
      <c r="G23" s="561">
        <v>2.65</v>
      </c>
      <c r="H23" s="493">
        <f t="shared" si="1"/>
        <v>331250</v>
      </c>
      <c r="I23" s="858"/>
      <c r="J23" s="804"/>
      <c r="K23" s="979" t="s">
        <v>429</v>
      </c>
      <c r="L23" s="552"/>
      <c r="R23" s="353"/>
      <c r="S23" s="353"/>
      <c r="T23" s="353"/>
      <c r="U23" s="353"/>
      <c r="V23" s="353"/>
    </row>
    <row r="24" spans="2:22" s="365" customFormat="1" x14ac:dyDescent="0.25">
      <c r="B24" s="562">
        <v>110000083190</v>
      </c>
      <c r="C24" s="724">
        <v>44831</v>
      </c>
      <c r="D24" s="856">
        <v>45103</v>
      </c>
      <c r="E24" s="724" t="s">
        <v>577</v>
      </c>
      <c r="F24" s="984">
        <v>11387255.130000001</v>
      </c>
      <c r="G24" s="564">
        <v>2.65</v>
      </c>
      <c r="H24" s="493">
        <f>F24*G24/100</f>
        <v>301762.26</v>
      </c>
      <c r="I24" s="863"/>
      <c r="J24" s="617"/>
      <c r="K24" s="979" t="s">
        <v>429</v>
      </c>
      <c r="L24" s="552"/>
      <c r="R24" s="353"/>
      <c r="S24" s="353"/>
      <c r="T24" s="353"/>
      <c r="U24" s="353"/>
      <c r="V24" s="353"/>
    </row>
    <row r="25" spans="2:22" s="365" customFormat="1" x14ac:dyDescent="0.25">
      <c r="B25" s="562">
        <v>110000083207</v>
      </c>
      <c r="C25" s="724">
        <v>44831</v>
      </c>
      <c r="D25" s="856">
        <v>45103</v>
      </c>
      <c r="E25" s="724" t="s">
        <v>577</v>
      </c>
      <c r="F25" s="725">
        <v>500000000</v>
      </c>
      <c r="G25" s="564">
        <v>2.65</v>
      </c>
      <c r="H25" s="493">
        <f>(F25*G25/100)</f>
        <v>13250000</v>
      </c>
      <c r="I25" s="863"/>
      <c r="J25" s="617"/>
      <c r="K25" s="979" t="s">
        <v>429</v>
      </c>
      <c r="L25" s="552"/>
      <c r="R25" s="353"/>
      <c r="S25" s="353"/>
      <c r="T25" s="353"/>
      <c r="U25" s="353"/>
      <c r="V25" s="353"/>
    </row>
    <row r="26" spans="2:22" s="365" customFormat="1" x14ac:dyDescent="0.25">
      <c r="B26" s="508" t="s">
        <v>401</v>
      </c>
      <c r="C26" s="509"/>
      <c r="D26" s="509"/>
      <c r="E26" s="509"/>
      <c r="F26" s="486">
        <f>SUM(F27:F30)</f>
        <v>25157849.739999998</v>
      </c>
      <c r="G26" s="367"/>
      <c r="H26" s="851">
        <f>SUM(H12:H25)</f>
        <v>22805113.760000002</v>
      </c>
      <c r="I26" s="852">
        <f>H26/F11</f>
        <v>2.1499999999999998E-2</v>
      </c>
      <c r="J26" s="368"/>
      <c r="K26" s="985"/>
      <c r="L26" s="552"/>
      <c r="R26" s="353"/>
      <c r="S26" s="353"/>
      <c r="T26" s="353"/>
      <c r="U26" s="353"/>
      <c r="V26" s="353"/>
    </row>
    <row r="27" spans="2:22" s="840" customFormat="1" x14ac:dyDescent="0.25">
      <c r="B27" s="822" t="s">
        <v>558</v>
      </c>
      <c r="C27" s="823">
        <v>44817</v>
      </c>
      <c r="D27" s="823">
        <v>44844</v>
      </c>
      <c r="E27" s="824" t="s">
        <v>554</v>
      </c>
      <c r="F27" s="825">
        <v>1530614.85</v>
      </c>
      <c r="G27" s="826">
        <v>1.75</v>
      </c>
      <c r="H27" s="493">
        <f t="shared" si="1"/>
        <v>26785.759999999998</v>
      </c>
      <c r="I27" s="828"/>
      <c r="J27" s="827"/>
      <c r="K27" s="986" t="s">
        <v>375</v>
      </c>
      <c r="L27" s="973" t="s">
        <v>575</v>
      </c>
      <c r="M27" s="987"/>
      <c r="R27" s="846"/>
      <c r="S27" s="846"/>
      <c r="T27" s="846"/>
      <c r="U27" s="846"/>
      <c r="V27" s="846"/>
    </row>
    <row r="28" spans="2:22" s="840" customFormat="1" x14ac:dyDescent="0.25">
      <c r="B28" s="614" t="s">
        <v>559</v>
      </c>
      <c r="C28" s="820">
        <v>44820</v>
      </c>
      <c r="D28" s="820">
        <v>44910</v>
      </c>
      <c r="E28" s="726" t="s">
        <v>556</v>
      </c>
      <c r="F28" s="725">
        <v>2543896.92</v>
      </c>
      <c r="G28" s="561">
        <v>2.25</v>
      </c>
      <c r="H28" s="493">
        <f t="shared" si="1"/>
        <v>57237.68</v>
      </c>
      <c r="I28" s="858"/>
      <c r="J28" s="804"/>
      <c r="K28" s="972" t="s">
        <v>375</v>
      </c>
      <c r="L28" s="973" t="s">
        <v>575</v>
      </c>
      <c r="M28" s="987"/>
      <c r="R28" s="846"/>
      <c r="S28" s="846"/>
      <c r="T28" s="846"/>
      <c r="U28" s="846"/>
      <c r="V28" s="846"/>
    </row>
    <row r="29" spans="2:22" s="840" customFormat="1" x14ac:dyDescent="0.25">
      <c r="B29" s="614" t="s">
        <v>560</v>
      </c>
      <c r="C29" s="820">
        <v>44834</v>
      </c>
      <c r="D29" s="820">
        <v>44924</v>
      </c>
      <c r="E29" s="726" t="s">
        <v>556</v>
      </c>
      <c r="F29" s="725">
        <v>4538598.16</v>
      </c>
      <c r="G29" s="561">
        <v>2.25</v>
      </c>
      <c r="H29" s="493">
        <f t="shared" si="1"/>
        <v>102118.46</v>
      </c>
      <c r="I29" s="858"/>
      <c r="J29" s="804"/>
      <c r="K29" s="972" t="s">
        <v>375</v>
      </c>
      <c r="L29" s="973" t="s">
        <v>575</v>
      </c>
      <c r="M29" s="987"/>
      <c r="R29" s="846"/>
      <c r="S29" s="846"/>
      <c r="T29" s="846"/>
      <c r="U29" s="846"/>
      <c r="V29" s="846"/>
    </row>
    <row r="30" spans="2:22" s="365" customFormat="1" x14ac:dyDescent="0.25">
      <c r="B30" s="644" t="s">
        <v>561</v>
      </c>
      <c r="C30" s="871">
        <v>44798</v>
      </c>
      <c r="D30" s="871">
        <v>44888</v>
      </c>
      <c r="E30" s="872" t="s">
        <v>556</v>
      </c>
      <c r="F30" s="873">
        <v>16544739.810000001</v>
      </c>
      <c r="G30" s="808">
        <v>2.25</v>
      </c>
      <c r="H30" s="493">
        <f t="shared" si="1"/>
        <v>372256.65</v>
      </c>
      <c r="I30" s="882"/>
      <c r="J30" s="809"/>
      <c r="K30" s="988" t="s">
        <v>375</v>
      </c>
      <c r="L30" s="552"/>
      <c r="R30" s="353"/>
      <c r="S30" s="353"/>
      <c r="T30" s="353"/>
      <c r="U30" s="353"/>
      <c r="V30" s="353"/>
    </row>
    <row r="31" spans="2:22" s="937" customFormat="1" ht="14" x14ac:dyDescent="0.3">
      <c r="B31" s="989" t="str">
        <f>[10]SEGUROS!$B$51</f>
        <v xml:space="preserve">FUENTE: DEPTO DE TESORERIA - DNF </v>
      </c>
      <c r="C31" s="990"/>
      <c r="D31" s="990"/>
      <c r="E31" s="990"/>
      <c r="F31" s="990"/>
      <c r="G31" s="991"/>
      <c r="H31" s="992">
        <f>SUM(H27:H30)</f>
        <v>558398.55000000005</v>
      </c>
      <c r="I31" s="993">
        <f>H31/F26</f>
        <v>2.2200000000000001E-2</v>
      </c>
      <c r="J31" s="992"/>
      <c r="K31" s="943"/>
      <c r="L31" s="943"/>
      <c r="M31" s="943"/>
    </row>
    <row r="32" spans="2:22" s="937" customFormat="1" ht="14" x14ac:dyDescent="0.3">
      <c r="B32" s="994">
        <f>'[10]VENC. '!$B$176</f>
        <v>44839</v>
      </c>
      <c r="C32" s="995"/>
      <c r="D32" s="995"/>
      <c r="E32" s="995"/>
      <c r="F32" s="995"/>
      <c r="G32" s="996"/>
      <c r="H32" s="997"/>
      <c r="I32" s="998"/>
      <c r="J32" s="997"/>
      <c r="K32" s="891"/>
      <c r="L32" s="891"/>
      <c r="M32" s="891"/>
    </row>
    <row r="33" spans="2:22" s="937" customFormat="1" ht="14" x14ac:dyDescent="0.3">
      <c r="B33" s="950" t="str">
        <f>'[10]VENC. '!B$177</f>
        <v>Preparado por:    _______________________________________</v>
      </c>
      <c r="C33" s="951"/>
      <c r="D33" s="1704" t="str">
        <f>'[10]VENC. '!D$177</f>
        <v>Revisado por:      ___________________________________</v>
      </c>
      <c r="E33" s="1704"/>
      <c r="F33" s="1704"/>
      <c r="G33" s="1705"/>
      <c r="H33" s="952"/>
      <c r="I33" s="953"/>
      <c r="J33" s="952"/>
      <c r="K33" s="891"/>
      <c r="L33" s="891"/>
      <c r="M33" s="891"/>
      <c r="R33" s="944"/>
      <c r="S33" s="944"/>
      <c r="T33" s="944"/>
      <c r="U33" s="944"/>
      <c r="V33" s="944"/>
    </row>
    <row r="34" spans="2:22" s="937" customFormat="1" ht="14" x14ac:dyDescent="0.3">
      <c r="B34" s="999"/>
      <c r="C34" s="951" t="str">
        <f>'[10]VENC. '!B$178</f>
        <v>Liz Mayta</v>
      </c>
      <c r="D34" s="1000"/>
      <c r="E34" s="1704" t="str">
        <f>'[10]VENC. '!D$178</f>
        <v xml:space="preserve"> Julio Pérez</v>
      </c>
      <c r="F34" s="1704"/>
      <c r="G34" s="1705"/>
      <c r="H34" s="952"/>
      <c r="I34" s="953"/>
      <c r="J34" s="952"/>
      <c r="K34" s="891"/>
      <c r="L34" s="891"/>
      <c r="M34" s="891"/>
      <c r="R34" s="944"/>
      <c r="S34" s="944"/>
      <c r="T34" s="944"/>
      <c r="U34" s="944"/>
      <c r="V34" s="944"/>
    </row>
    <row r="35" spans="2:22" s="937" customFormat="1" ht="14" x14ac:dyDescent="0.3">
      <c r="B35" s="1699" t="str">
        <f>'[10]VENC. '!$B$179</f>
        <v>Analista de Presupuesto</v>
      </c>
      <c r="C35" s="1700"/>
      <c r="D35" s="1700"/>
      <c r="E35" s="1707" t="str">
        <f>'[10]VENC. '!$D$179</f>
        <v>Jefe Encargado de la Sección de Análisis y Programación Financiera</v>
      </c>
      <c r="F35" s="1707"/>
      <c r="G35" s="1708"/>
      <c r="H35" s="1001"/>
      <c r="I35" s="1002"/>
      <c r="J35" s="1001">
        <f>F13+F30+rpsept!F31+rpsept!F13</f>
        <v>41361849.509999998</v>
      </c>
      <c r="K35" s="891"/>
      <c r="L35" s="891"/>
      <c r="M35" s="891"/>
    </row>
    <row r="36" spans="2:22" hidden="1" x14ac:dyDescent="0.35">
      <c r="B36" s="893"/>
      <c r="C36" s="894"/>
      <c r="D36" s="894"/>
      <c r="E36" s="894"/>
      <c r="F36" s="894"/>
      <c r="G36" s="895"/>
      <c r="H36" s="454"/>
      <c r="I36" s="896"/>
      <c r="J36" s="454"/>
    </row>
    <row r="37" spans="2:22" x14ac:dyDescent="0.35">
      <c r="J37" s="343">
        <f>F13+rpsept!F13</f>
        <v>20680924.75</v>
      </c>
    </row>
    <row r="38" spans="2:22" x14ac:dyDescent="0.35">
      <c r="J38" s="343">
        <f>F30+rpsept!F31</f>
        <v>20680924.760000002</v>
      </c>
    </row>
    <row r="39" spans="2:22" x14ac:dyDescent="0.35">
      <c r="J39" s="343">
        <f>SUM(J37:J38)</f>
        <v>41361849.509999998</v>
      </c>
      <c r="K39" s="891" t="s">
        <v>387</v>
      </c>
    </row>
    <row r="41" spans="2:22" s="579" customFormat="1" x14ac:dyDescent="0.25">
      <c r="B41" s="399">
        <v>110000065100</v>
      </c>
      <c r="C41" s="400">
        <v>43656</v>
      </c>
      <c r="D41" s="401">
        <v>44386</v>
      </c>
      <c r="E41" s="410" t="s">
        <v>430</v>
      </c>
      <c r="F41" s="411">
        <v>6250000</v>
      </c>
      <c r="G41" s="412">
        <v>2.65</v>
      </c>
      <c r="H41" s="523"/>
      <c r="I41" s="522"/>
      <c r="J41" s="523"/>
      <c r="K41" s="580" t="s">
        <v>375</v>
      </c>
      <c r="L41" s="392" t="s">
        <v>431</v>
      </c>
      <c r="R41" s="581"/>
      <c r="S41" s="581"/>
      <c r="T41" s="581"/>
      <c r="U41" s="581"/>
      <c r="V41" s="581"/>
    </row>
  </sheetData>
  <mergeCells count="19">
    <mergeCell ref="M6:R7"/>
    <mergeCell ref="B10:E10"/>
    <mergeCell ref="D33:G33"/>
    <mergeCell ref="E34:G34"/>
    <mergeCell ref="B35:D35"/>
    <mergeCell ref="E35:G35"/>
    <mergeCell ref="B6:B8"/>
    <mergeCell ref="C6:D7"/>
    <mergeCell ref="E6:E8"/>
    <mergeCell ref="F6:F7"/>
    <mergeCell ref="G6:G8"/>
    <mergeCell ref="K6:K8"/>
    <mergeCell ref="N1:R1"/>
    <mergeCell ref="B2:G2"/>
    <mergeCell ref="M2:R2"/>
    <mergeCell ref="B3:G3"/>
    <mergeCell ref="M3:M5"/>
    <mergeCell ref="B4:G4"/>
    <mergeCell ref="B5:G5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V59"/>
  <sheetViews>
    <sheetView workbookViewId="0">
      <selection activeCell="F15" sqref="F15:F21"/>
    </sheetView>
  </sheetViews>
  <sheetFormatPr baseColWidth="10" defaultColWidth="11.1796875" defaultRowHeight="15.5" x14ac:dyDescent="0.35"/>
  <cols>
    <col min="1" max="1" width="8.1796875" style="370" customWidth="1"/>
    <col min="2" max="2" width="27" style="453" customWidth="1"/>
    <col min="3" max="3" width="21.26953125" style="453" customWidth="1"/>
    <col min="4" max="4" width="16.7265625" style="453" customWidth="1"/>
    <col min="5" max="5" width="15.1796875" style="453" customWidth="1"/>
    <col min="6" max="6" width="19" style="453" customWidth="1"/>
    <col min="7" max="7" width="19.7265625" style="344" customWidth="1"/>
    <col min="8" max="8" width="19.7265625" style="343" customWidth="1"/>
    <col min="9" max="9" width="19.7265625" style="892" customWidth="1"/>
    <col min="10" max="10" width="19.7265625" style="343" customWidth="1"/>
    <col min="11" max="11" width="31.54296875" style="365" customWidth="1"/>
    <col min="12" max="12" width="14.26953125" style="358" customWidth="1"/>
    <col min="13" max="13" width="17.7265625" style="358" customWidth="1"/>
    <col min="14" max="17" width="11.1796875" style="355"/>
    <col min="18" max="22" width="11.1796875" style="359"/>
    <col min="23" max="16384" width="11.1796875" style="355"/>
  </cols>
  <sheetData>
    <row r="1" spans="1:22" s="331" customFormat="1" ht="21" customHeight="1" x14ac:dyDescent="0.25">
      <c r="A1" s="370"/>
      <c r="B1" s="956"/>
      <c r="C1" s="957"/>
      <c r="D1" s="957"/>
      <c r="E1" s="957"/>
      <c r="F1" s="957"/>
      <c r="G1" s="958" t="s">
        <v>518</v>
      </c>
      <c r="H1" s="343"/>
      <c r="I1" s="892"/>
      <c r="J1" s="343"/>
      <c r="K1" s="345"/>
      <c r="L1" s="337"/>
      <c r="M1" s="338"/>
      <c r="N1" s="1654"/>
      <c r="O1" s="1654"/>
      <c r="P1" s="1654"/>
      <c r="Q1" s="1654"/>
      <c r="R1" s="1654"/>
      <c r="S1" s="340"/>
      <c r="T1" s="340"/>
      <c r="U1" s="340"/>
      <c r="V1" s="340"/>
    </row>
    <row r="2" spans="1:22" s="341" customFormat="1" ht="21" customHeight="1" x14ac:dyDescent="0.25">
      <c r="B2" s="1655" t="s">
        <v>0</v>
      </c>
      <c r="C2" s="1656"/>
      <c r="D2" s="1656"/>
      <c r="E2" s="1656"/>
      <c r="F2" s="1656"/>
      <c r="G2" s="1657"/>
      <c r="H2" s="343"/>
      <c r="I2" s="892"/>
      <c r="J2" s="343"/>
      <c r="K2" s="345"/>
      <c r="L2" s="345"/>
      <c r="M2" s="1658"/>
      <c r="N2" s="1658"/>
      <c r="O2" s="1658"/>
      <c r="P2" s="1658"/>
      <c r="Q2" s="1658"/>
      <c r="R2" s="1658"/>
      <c r="S2" s="346"/>
      <c r="T2" s="346"/>
      <c r="U2" s="346"/>
      <c r="V2" s="346"/>
    </row>
    <row r="3" spans="1:22" s="352" customFormat="1" ht="21" customHeight="1" x14ac:dyDescent="0.25">
      <c r="A3" s="347"/>
      <c r="B3" s="1659" t="s">
        <v>519</v>
      </c>
      <c r="C3" s="1660"/>
      <c r="D3" s="1660"/>
      <c r="E3" s="1660"/>
      <c r="F3" s="1660"/>
      <c r="G3" s="1661"/>
      <c r="H3" s="348"/>
      <c r="I3" s="959"/>
      <c r="J3" s="348"/>
      <c r="K3" s="350"/>
      <c r="L3" s="350"/>
      <c r="M3" s="1662"/>
      <c r="N3" s="351"/>
      <c r="O3" s="351"/>
      <c r="P3" s="351"/>
      <c r="Q3" s="351"/>
      <c r="R3" s="351"/>
      <c r="S3" s="346"/>
      <c r="T3" s="346"/>
      <c r="U3" s="346"/>
      <c r="V3" s="347"/>
    </row>
    <row r="4" spans="1:22" s="352" customFormat="1" ht="21" customHeight="1" x14ac:dyDescent="0.25">
      <c r="A4" s="347"/>
      <c r="B4" s="1659" t="s">
        <v>520</v>
      </c>
      <c r="C4" s="1660"/>
      <c r="D4" s="1660"/>
      <c r="E4" s="1660"/>
      <c r="F4" s="1660"/>
      <c r="G4" s="1661"/>
      <c r="H4" s="348"/>
      <c r="I4" s="959"/>
      <c r="J4" s="348"/>
      <c r="K4" s="350"/>
      <c r="L4" s="350"/>
      <c r="M4" s="1662"/>
      <c r="N4" s="351"/>
      <c r="O4" s="351"/>
      <c r="P4" s="351"/>
      <c r="Q4" s="351"/>
      <c r="R4" s="351"/>
      <c r="S4" s="346"/>
      <c r="T4" s="346"/>
      <c r="U4" s="346"/>
      <c r="V4" s="347"/>
    </row>
    <row r="5" spans="1:22" s="341" customFormat="1" ht="21" customHeight="1" x14ac:dyDescent="0.25">
      <c r="B5" s="1663" t="str">
        <f>'[10]VENC. '!$B$4</f>
        <v xml:space="preserve"> AL 30 DE SEPTIEMBRE  2022</v>
      </c>
      <c r="C5" s="1664"/>
      <c r="D5" s="1664"/>
      <c r="E5" s="1664"/>
      <c r="F5" s="1664"/>
      <c r="G5" s="1665"/>
      <c r="H5" s="343"/>
      <c r="I5" s="892"/>
      <c r="J5" s="343"/>
      <c r="K5" s="350"/>
      <c r="L5" s="350"/>
      <c r="M5" s="1662"/>
      <c r="N5" s="353"/>
      <c r="O5" s="353"/>
      <c r="P5" s="345"/>
      <c r="Q5" s="345"/>
      <c r="R5" s="354"/>
      <c r="S5" s="346"/>
      <c r="T5" s="346"/>
      <c r="U5" s="346"/>
      <c r="V5" s="346"/>
    </row>
    <row r="6" spans="1:22" ht="21" customHeight="1" x14ac:dyDescent="0.35">
      <c r="B6" s="1649" t="s">
        <v>362</v>
      </c>
      <c r="C6" s="1659" t="s">
        <v>363</v>
      </c>
      <c r="D6" s="1661"/>
      <c r="E6" s="1649" t="s">
        <v>364</v>
      </c>
      <c r="F6" s="1649" t="s">
        <v>365</v>
      </c>
      <c r="G6" s="1649" t="s">
        <v>366</v>
      </c>
      <c r="H6" s="356"/>
      <c r="I6" s="836"/>
      <c r="J6" s="356"/>
      <c r="K6" s="1653" t="s">
        <v>367</v>
      </c>
      <c r="M6" s="1640"/>
      <c r="N6" s="1640"/>
      <c r="O6" s="1640"/>
      <c r="P6" s="1640"/>
      <c r="Q6" s="1640"/>
      <c r="R6" s="1640"/>
    </row>
    <row r="7" spans="1:22" ht="21" customHeight="1" x14ac:dyDescent="0.35">
      <c r="B7" s="1649"/>
      <c r="C7" s="1659"/>
      <c r="D7" s="1661"/>
      <c r="E7" s="1649"/>
      <c r="F7" s="1649"/>
      <c r="G7" s="1649"/>
      <c r="H7" s="356"/>
      <c r="I7" s="836"/>
      <c r="J7" s="356"/>
      <c r="K7" s="1649"/>
      <c r="M7" s="1640"/>
      <c r="N7" s="1640"/>
      <c r="O7" s="1640"/>
      <c r="P7" s="1640"/>
      <c r="Q7" s="1640"/>
      <c r="R7" s="1640"/>
    </row>
    <row r="8" spans="1:22" ht="14.25" customHeight="1" x14ac:dyDescent="0.35">
      <c r="B8" s="1650"/>
      <c r="C8" s="960" t="s">
        <v>368</v>
      </c>
      <c r="D8" s="961" t="s">
        <v>369</v>
      </c>
      <c r="E8" s="1650"/>
      <c r="F8" s="364" t="s">
        <v>370</v>
      </c>
      <c r="G8" s="1650"/>
      <c r="H8" s="363"/>
      <c r="I8" s="837"/>
      <c r="J8" s="363"/>
      <c r="K8" s="1650"/>
      <c r="L8" s="353"/>
      <c r="M8" s="354"/>
      <c r="N8" s="338"/>
      <c r="O8" s="338"/>
      <c r="P8" s="338"/>
      <c r="Q8" s="338"/>
      <c r="R8" s="338"/>
      <c r="S8" s="340"/>
    </row>
    <row r="9" spans="1:22" s="370" customFormat="1" ht="18" customHeight="1" x14ac:dyDescent="0.25">
      <c r="B9" s="548"/>
      <c r="C9" s="372"/>
      <c r="D9" s="372"/>
      <c r="E9" s="372"/>
      <c r="F9" s="373"/>
      <c r="G9" s="342"/>
      <c r="H9" s="343"/>
      <c r="I9" s="892"/>
      <c r="J9" s="343"/>
      <c r="K9" s="353"/>
      <c r="L9" s="353"/>
      <c r="M9" s="549"/>
      <c r="N9" s="550"/>
      <c r="O9" s="550"/>
      <c r="P9" s="550"/>
      <c r="Q9" s="550"/>
      <c r="R9" s="550"/>
      <c r="S9" s="374"/>
      <c r="T9" s="374"/>
      <c r="U9" s="374"/>
      <c r="V9" s="374"/>
    </row>
    <row r="10" spans="1:22" s="520" customFormat="1" ht="27.75" customHeight="1" x14ac:dyDescent="0.25">
      <c r="A10" s="365"/>
      <c r="B10" s="1709" t="s">
        <v>521</v>
      </c>
      <c r="C10" s="1710"/>
      <c r="D10" s="1710"/>
      <c r="E10" s="678" t="s">
        <v>101</v>
      </c>
      <c r="F10" s="1003">
        <f>F11+F31</f>
        <v>123759621.8</v>
      </c>
      <c r="G10" s="367"/>
      <c r="H10" s="368"/>
      <c r="I10" s="525"/>
      <c r="J10" s="368"/>
      <c r="K10" s="365"/>
      <c r="R10" s="524"/>
      <c r="S10" s="524"/>
      <c r="T10" s="524"/>
      <c r="U10" s="524"/>
      <c r="V10" s="524"/>
    </row>
    <row r="11" spans="1:22" s="520" customFormat="1" ht="27.75" customHeight="1" x14ac:dyDescent="0.25">
      <c r="A11" s="365"/>
      <c r="B11" s="684" t="s">
        <v>522</v>
      </c>
      <c r="C11" s="685"/>
      <c r="D11" s="685"/>
      <c r="E11" s="534"/>
      <c r="F11" s="373">
        <f>SUM(F12)+F22</f>
        <v>113381486.89</v>
      </c>
      <c r="G11" s="367"/>
      <c r="H11" s="368"/>
      <c r="I11" s="525"/>
      <c r="J11" s="368"/>
      <c r="K11" s="365"/>
      <c r="L11" s="365"/>
      <c r="M11" s="337"/>
      <c r="R11" s="524"/>
      <c r="S11" s="524"/>
      <c r="T11" s="524"/>
      <c r="U11" s="524"/>
      <c r="V11" s="524"/>
    </row>
    <row r="12" spans="1:22" s="520" customFormat="1" ht="27.75" customHeight="1" x14ac:dyDescent="0.25">
      <c r="A12" s="365"/>
      <c r="B12" s="684" t="s">
        <v>372</v>
      </c>
      <c r="C12" s="685"/>
      <c r="D12" s="685"/>
      <c r="E12" s="534"/>
      <c r="F12" s="373">
        <f>SUM(F13:F21)</f>
        <v>81279761.329999998</v>
      </c>
      <c r="G12" s="367"/>
      <c r="H12" s="368"/>
      <c r="I12" s="525"/>
      <c r="J12" s="368"/>
      <c r="K12" s="365"/>
      <c r="L12" s="365"/>
      <c r="R12" s="524"/>
      <c r="S12" s="524"/>
      <c r="T12" s="524"/>
      <c r="U12" s="524"/>
      <c r="V12" s="524"/>
    </row>
    <row r="13" spans="1:22" s="365" customFormat="1" ht="17.25" customHeight="1" x14ac:dyDescent="0.25">
      <c r="B13" s="1004">
        <v>150000127101</v>
      </c>
      <c r="C13" s="843">
        <v>44834</v>
      </c>
      <c r="D13" s="843">
        <v>44837</v>
      </c>
      <c r="E13" s="843" t="s">
        <v>562</v>
      </c>
      <c r="F13" s="1005"/>
      <c r="G13" s="1006">
        <v>1.1000000000000001</v>
      </c>
      <c r="H13" s="1007"/>
      <c r="I13" s="1008"/>
      <c r="J13" s="1007"/>
      <c r="K13" s="1009" t="s">
        <v>375</v>
      </c>
      <c r="L13" s="1711" t="s">
        <v>563</v>
      </c>
      <c r="M13" s="1712"/>
      <c r="R13" s="353"/>
      <c r="S13" s="353"/>
      <c r="T13" s="353"/>
      <c r="U13" s="353"/>
      <c r="V13" s="353"/>
    </row>
    <row r="14" spans="1:22" s="365" customFormat="1" ht="17.25" customHeight="1" x14ac:dyDescent="0.25">
      <c r="B14" s="1004">
        <v>150000127110</v>
      </c>
      <c r="C14" s="843">
        <v>44804</v>
      </c>
      <c r="D14" s="843">
        <v>44805</v>
      </c>
      <c r="E14" s="843" t="s">
        <v>578</v>
      </c>
      <c r="F14" s="1005"/>
      <c r="G14" s="1006">
        <v>1.1000000000000001</v>
      </c>
      <c r="H14" s="1007"/>
      <c r="I14" s="1008"/>
      <c r="J14" s="1007"/>
      <c r="K14" s="1009" t="s">
        <v>375</v>
      </c>
      <c r="L14" s="1711"/>
      <c r="M14" s="1712"/>
      <c r="R14" s="353"/>
      <c r="S14" s="353"/>
      <c r="T14" s="353"/>
      <c r="U14" s="353"/>
      <c r="V14" s="353"/>
    </row>
    <row r="15" spans="1:22" s="392" customFormat="1" ht="17.25" customHeight="1" x14ac:dyDescent="0.25">
      <c r="B15" s="1010">
        <v>110000082326</v>
      </c>
      <c r="C15" s="1011">
        <v>44768</v>
      </c>
      <c r="D15" s="1011">
        <v>44858</v>
      </c>
      <c r="E15" s="966" t="s">
        <v>556</v>
      </c>
      <c r="F15" s="1012">
        <v>52347564.170000002</v>
      </c>
      <c r="G15" s="1013">
        <v>0.75</v>
      </c>
      <c r="H15" s="827">
        <f>F15*G15/100</f>
        <v>392606.73</v>
      </c>
      <c r="I15" s="828"/>
      <c r="J15" s="827"/>
      <c r="K15" s="1014"/>
      <c r="R15" s="393"/>
      <c r="S15" s="393"/>
      <c r="T15" s="393"/>
      <c r="U15" s="393"/>
      <c r="V15" s="393"/>
    </row>
    <row r="16" spans="1:22" s="392" customFormat="1" ht="17.25" customHeight="1" x14ac:dyDescent="0.25">
      <c r="B16" s="1010">
        <v>110000082317</v>
      </c>
      <c r="C16" s="1011">
        <v>44768</v>
      </c>
      <c r="D16" s="1011">
        <v>44858</v>
      </c>
      <c r="E16" s="966" t="s">
        <v>556</v>
      </c>
      <c r="F16" s="1012">
        <v>1461596</v>
      </c>
      <c r="G16" s="1013">
        <v>0.75</v>
      </c>
      <c r="H16" s="827">
        <f>F16*G16/100</f>
        <v>10961.97</v>
      </c>
      <c r="I16" s="828"/>
      <c r="J16" s="827"/>
      <c r="K16" s="1014"/>
      <c r="R16" s="393"/>
      <c r="S16" s="393"/>
      <c r="T16" s="393"/>
      <c r="U16" s="393"/>
      <c r="V16" s="393"/>
    </row>
    <row r="17" spans="1:22" s="392" customFormat="1" ht="17.25" customHeight="1" x14ac:dyDescent="0.25">
      <c r="B17" s="1010">
        <v>110000082406</v>
      </c>
      <c r="C17" s="1011">
        <v>44771</v>
      </c>
      <c r="D17" s="1011">
        <v>44863</v>
      </c>
      <c r="E17" s="966" t="s">
        <v>556</v>
      </c>
      <c r="F17" s="1012">
        <v>5283191.78</v>
      </c>
      <c r="G17" s="1013">
        <v>0.75</v>
      </c>
      <c r="H17" s="827">
        <f>F17*G17/100</f>
        <v>39623.94</v>
      </c>
      <c r="I17" s="828"/>
      <c r="J17" s="827"/>
      <c r="K17" s="1014"/>
      <c r="R17" s="393"/>
      <c r="S17" s="393"/>
      <c r="T17" s="393"/>
      <c r="U17" s="393"/>
      <c r="V17" s="393"/>
    </row>
    <row r="18" spans="1:22" s="392" customFormat="1" ht="17.25" customHeight="1" x14ac:dyDescent="0.25">
      <c r="B18" s="1010">
        <v>110000082415</v>
      </c>
      <c r="C18" s="1011">
        <v>44771</v>
      </c>
      <c r="D18" s="1011">
        <v>44863</v>
      </c>
      <c r="E18" s="966" t="s">
        <v>556</v>
      </c>
      <c r="F18" s="1012">
        <v>331197.56</v>
      </c>
      <c r="G18" s="1013">
        <v>0.75</v>
      </c>
      <c r="H18" s="827">
        <f>F18*G18/100</f>
        <v>2483.98</v>
      </c>
      <c r="I18" s="828"/>
      <c r="J18" s="827"/>
      <c r="K18" s="1014">
        <v>10000125499</v>
      </c>
      <c r="R18" s="393"/>
      <c r="S18" s="393"/>
      <c r="T18" s="393"/>
      <c r="U18" s="393"/>
      <c r="V18" s="393"/>
    </row>
    <row r="19" spans="1:22" s="520" customFormat="1" ht="21" customHeight="1" x14ac:dyDescent="0.25">
      <c r="A19" s="365"/>
      <c r="B19" s="414">
        <v>110000058090</v>
      </c>
      <c r="C19" s="408">
        <v>43150</v>
      </c>
      <c r="D19" s="408">
        <v>45707</v>
      </c>
      <c r="E19" s="408" t="s">
        <v>381</v>
      </c>
      <c r="F19" s="854">
        <v>9411663.8200000003</v>
      </c>
      <c r="G19" s="404">
        <v>3.15</v>
      </c>
      <c r="H19" s="827">
        <f t="shared" ref="H19:H50" si="0">F19*G19/100</f>
        <v>296467.40999999997</v>
      </c>
      <c r="I19" s="496"/>
      <c r="J19" s="497"/>
      <c r="K19" s="414" t="s">
        <v>375</v>
      </c>
      <c r="L19" s="405" t="s">
        <v>466</v>
      </c>
      <c r="R19" s="524"/>
      <c r="S19" s="524"/>
      <c r="T19" s="524"/>
      <c r="U19" s="524"/>
      <c r="V19" s="524"/>
    </row>
    <row r="20" spans="1:22" s="370" customFormat="1" ht="21" customHeight="1" x14ac:dyDescent="0.25">
      <c r="A20" s="365"/>
      <c r="B20" s="415">
        <v>110000053324</v>
      </c>
      <c r="C20" s="853">
        <v>42916</v>
      </c>
      <c r="D20" s="853">
        <v>45838</v>
      </c>
      <c r="E20" s="408" t="s">
        <v>383</v>
      </c>
      <c r="F20" s="854">
        <v>9698013.7899999991</v>
      </c>
      <c r="G20" s="502">
        <v>3.25</v>
      </c>
      <c r="H20" s="827">
        <f t="shared" si="0"/>
        <v>315185.45</v>
      </c>
      <c r="I20" s="503"/>
      <c r="J20" s="504"/>
      <c r="K20" s="414" t="s">
        <v>375</v>
      </c>
      <c r="L20" s="365" t="s">
        <v>397</v>
      </c>
      <c r="M20" s="365"/>
      <c r="R20" s="374"/>
      <c r="S20" s="374"/>
      <c r="T20" s="374"/>
      <c r="U20" s="374"/>
      <c r="V20" s="374"/>
    </row>
    <row r="21" spans="1:22" s="365" customFormat="1" ht="21" customHeight="1" x14ac:dyDescent="0.25">
      <c r="B21" s="414">
        <v>110000058607</v>
      </c>
      <c r="C21" s="408" t="s">
        <v>398</v>
      </c>
      <c r="D21" s="853">
        <v>46020</v>
      </c>
      <c r="E21" s="408" t="s">
        <v>383</v>
      </c>
      <c r="F21" s="854">
        <v>2746534.21</v>
      </c>
      <c r="G21" s="404">
        <v>3.3</v>
      </c>
      <c r="H21" s="827">
        <f t="shared" si="0"/>
        <v>90635.63</v>
      </c>
      <c r="I21" s="496"/>
      <c r="J21" s="497"/>
      <c r="K21" s="414" t="s">
        <v>375</v>
      </c>
      <c r="L21" s="365" t="s">
        <v>400</v>
      </c>
      <c r="R21" s="353"/>
      <c r="S21" s="353"/>
      <c r="T21" s="353"/>
      <c r="U21" s="353"/>
      <c r="V21" s="353"/>
    </row>
    <row r="22" spans="1:22" s="520" customFormat="1" ht="21" customHeight="1" x14ac:dyDescent="0.25">
      <c r="A22" s="365"/>
      <c r="B22" s="1015" t="s">
        <v>401</v>
      </c>
      <c r="C22" s="534"/>
      <c r="D22" s="534"/>
      <c r="E22" s="534"/>
      <c r="F22" s="373">
        <f>SUM(F23:F30)</f>
        <v>32101725.559999999</v>
      </c>
      <c r="G22" s="656"/>
      <c r="H22" s="1016">
        <f>SUM(H15:H21)</f>
        <v>1147965.1100000001</v>
      </c>
      <c r="I22" s="852">
        <f>H22/F12</f>
        <v>1.41E-2</v>
      </c>
      <c r="J22" s="368"/>
      <c r="K22" s="365"/>
      <c r="L22" s="365"/>
      <c r="R22" s="524"/>
      <c r="S22" s="524"/>
      <c r="T22" s="524"/>
      <c r="U22" s="524"/>
      <c r="V22" s="524"/>
    </row>
    <row r="23" spans="1:22" s="520" customFormat="1" ht="21" customHeight="1" x14ac:dyDescent="0.25">
      <c r="A23" s="365"/>
      <c r="B23" s="415" t="s">
        <v>526</v>
      </c>
      <c r="C23" s="853">
        <v>42599</v>
      </c>
      <c r="D23" s="853">
        <v>45155</v>
      </c>
      <c r="E23" s="408" t="s">
        <v>381</v>
      </c>
      <c r="F23" s="854">
        <v>1018418.66</v>
      </c>
      <c r="G23" s="404">
        <v>4.8</v>
      </c>
      <c r="H23" s="827">
        <f t="shared" si="0"/>
        <v>48884.1</v>
      </c>
      <c r="I23" s="496"/>
      <c r="J23" s="497"/>
      <c r="K23" s="414" t="s">
        <v>375</v>
      </c>
      <c r="L23" s="365"/>
      <c r="M23" s="337"/>
      <c r="R23" s="524"/>
      <c r="S23" s="524"/>
      <c r="T23" s="524"/>
      <c r="U23" s="524"/>
      <c r="V23" s="524"/>
    </row>
    <row r="24" spans="1:22" s="609" customFormat="1" ht="21" customHeight="1" x14ac:dyDescent="0.25">
      <c r="A24" s="640"/>
      <c r="B24" s="415" t="s">
        <v>527</v>
      </c>
      <c r="C24" s="853">
        <v>44075</v>
      </c>
      <c r="D24" s="853">
        <v>45168</v>
      </c>
      <c r="E24" s="408" t="s">
        <v>477</v>
      </c>
      <c r="F24" s="854">
        <v>21219665.16</v>
      </c>
      <c r="G24" s="404">
        <v>3</v>
      </c>
      <c r="H24" s="827">
        <f t="shared" si="0"/>
        <v>636589.94999999995</v>
      </c>
      <c r="I24" s="496"/>
      <c r="J24" s="497"/>
      <c r="K24" s="414" t="s">
        <v>375</v>
      </c>
      <c r="L24" s="640"/>
      <c r="M24" s="772"/>
      <c r="R24" s="611"/>
      <c r="S24" s="611"/>
      <c r="T24" s="611"/>
      <c r="U24" s="611"/>
      <c r="V24" s="611"/>
    </row>
    <row r="25" spans="1:22" s="520" customFormat="1" ht="21" customHeight="1" x14ac:dyDescent="0.25">
      <c r="A25" s="365"/>
      <c r="B25" s="415" t="s">
        <v>528</v>
      </c>
      <c r="C25" s="853">
        <v>43340</v>
      </c>
      <c r="D25" s="853">
        <v>45530</v>
      </c>
      <c r="E25" s="408" t="s">
        <v>379</v>
      </c>
      <c r="F25" s="854">
        <v>97652.59</v>
      </c>
      <c r="G25" s="404">
        <v>4.875</v>
      </c>
      <c r="H25" s="827">
        <f t="shared" si="0"/>
        <v>4760.5600000000004</v>
      </c>
      <c r="I25" s="496"/>
      <c r="J25" s="497"/>
      <c r="K25" s="414" t="s">
        <v>375</v>
      </c>
      <c r="L25" s="365" t="s">
        <v>480</v>
      </c>
      <c r="Q25" s="524"/>
      <c r="R25" s="524"/>
      <c r="S25" s="524"/>
      <c r="T25" s="524"/>
      <c r="U25" s="524"/>
    </row>
    <row r="26" spans="1:22" s="370" customFormat="1" ht="21" customHeight="1" x14ac:dyDescent="0.25">
      <c r="A26" s="365"/>
      <c r="B26" s="415" t="s">
        <v>529</v>
      </c>
      <c r="C26" s="853">
        <v>43017</v>
      </c>
      <c r="D26" s="408">
        <v>45574</v>
      </c>
      <c r="E26" s="408" t="s">
        <v>381</v>
      </c>
      <c r="F26" s="854">
        <v>2364964.0499999998</v>
      </c>
      <c r="G26" s="404">
        <v>4.5</v>
      </c>
      <c r="H26" s="827">
        <f t="shared" si="0"/>
        <v>106423.38</v>
      </c>
      <c r="I26" s="496"/>
      <c r="J26" s="497"/>
      <c r="K26" s="414" t="s">
        <v>375</v>
      </c>
      <c r="L26" s="365"/>
      <c r="M26" s="365"/>
      <c r="R26" s="374"/>
      <c r="S26" s="374"/>
      <c r="T26" s="374"/>
      <c r="U26" s="374"/>
      <c r="V26" s="374"/>
    </row>
    <row r="27" spans="1:22" s="370" customFormat="1" ht="21" customHeight="1" x14ac:dyDescent="0.25">
      <c r="A27" s="365"/>
      <c r="B27" s="415" t="s">
        <v>530</v>
      </c>
      <c r="C27" s="853">
        <v>43511</v>
      </c>
      <c r="D27" s="408">
        <v>45702</v>
      </c>
      <c r="E27" s="408" t="s">
        <v>379</v>
      </c>
      <c r="F27" s="854">
        <v>274883.67</v>
      </c>
      <c r="G27" s="404">
        <v>5</v>
      </c>
      <c r="H27" s="827">
        <f t="shared" si="0"/>
        <v>13744.18</v>
      </c>
      <c r="I27" s="496"/>
      <c r="J27" s="497"/>
      <c r="K27" s="414" t="s">
        <v>375</v>
      </c>
      <c r="L27" s="365" t="s">
        <v>420</v>
      </c>
      <c r="M27" s="365"/>
      <c r="R27" s="374"/>
      <c r="S27" s="374"/>
      <c r="T27" s="374"/>
      <c r="U27" s="374"/>
      <c r="V27" s="374"/>
    </row>
    <row r="28" spans="1:22" s="370" customFormat="1" ht="21" customHeight="1" x14ac:dyDescent="0.25">
      <c r="A28" s="365"/>
      <c r="B28" s="415" t="s">
        <v>531</v>
      </c>
      <c r="C28" s="853">
        <v>43403</v>
      </c>
      <c r="D28" s="408">
        <v>45960</v>
      </c>
      <c r="E28" s="408" t="s">
        <v>381</v>
      </c>
      <c r="F28" s="854">
        <v>4617859.83</v>
      </c>
      <c r="G28" s="404">
        <v>5</v>
      </c>
      <c r="H28" s="827">
        <f t="shared" si="0"/>
        <v>230892.99</v>
      </c>
      <c r="I28" s="496"/>
      <c r="J28" s="497"/>
      <c r="K28" s="414" t="s">
        <v>375</v>
      </c>
      <c r="L28" s="365" t="s">
        <v>532</v>
      </c>
      <c r="M28" s="365"/>
      <c r="R28" s="374"/>
      <c r="S28" s="374"/>
      <c r="T28" s="374"/>
      <c r="U28" s="374"/>
      <c r="V28" s="374"/>
    </row>
    <row r="29" spans="1:22" s="520" customFormat="1" ht="21" customHeight="1" x14ac:dyDescent="0.25">
      <c r="A29" s="365"/>
      <c r="B29" s="415" t="s">
        <v>533</v>
      </c>
      <c r="C29" s="853">
        <v>43434</v>
      </c>
      <c r="D29" s="853">
        <v>45988</v>
      </c>
      <c r="E29" s="408" t="s">
        <v>381</v>
      </c>
      <c r="F29" s="854">
        <v>1760000</v>
      </c>
      <c r="G29" s="404">
        <v>5.125</v>
      </c>
      <c r="H29" s="827">
        <f t="shared" si="0"/>
        <v>90200</v>
      </c>
      <c r="I29" s="496"/>
      <c r="J29" s="497"/>
      <c r="K29" s="414" t="s">
        <v>375</v>
      </c>
      <c r="L29" s="365" t="s">
        <v>451</v>
      </c>
      <c r="R29" s="524"/>
      <c r="S29" s="524"/>
      <c r="T29" s="524"/>
      <c r="U29" s="524"/>
      <c r="V29" s="524"/>
    </row>
    <row r="30" spans="1:22" s="520" customFormat="1" ht="21" customHeight="1" x14ac:dyDescent="0.25">
      <c r="A30" s="365"/>
      <c r="B30" s="415" t="s">
        <v>534</v>
      </c>
      <c r="C30" s="853">
        <v>43452</v>
      </c>
      <c r="D30" s="853">
        <v>46007</v>
      </c>
      <c r="E30" s="408" t="s">
        <v>381</v>
      </c>
      <c r="F30" s="854">
        <v>748281.6</v>
      </c>
      <c r="G30" s="404">
        <v>5.125</v>
      </c>
      <c r="H30" s="827">
        <f t="shared" si="0"/>
        <v>38349.43</v>
      </c>
      <c r="I30" s="496"/>
      <c r="J30" s="497"/>
      <c r="K30" s="414" t="s">
        <v>375</v>
      </c>
      <c r="L30" s="405" t="s">
        <v>453</v>
      </c>
      <c r="R30" s="524"/>
      <c r="S30" s="524"/>
      <c r="T30" s="524"/>
      <c r="U30" s="524"/>
      <c r="V30" s="524"/>
    </row>
    <row r="31" spans="1:22" s="520" customFormat="1" ht="21" customHeight="1" x14ac:dyDescent="0.25">
      <c r="A31" s="365"/>
      <c r="B31" s="1017" t="s">
        <v>535</v>
      </c>
      <c r="C31" s="654"/>
      <c r="D31" s="654"/>
      <c r="E31" s="654"/>
      <c r="F31" s="1018">
        <f>SUM(F32)+F42</f>
        <v>10378134.91</v>
      </c>
      <c r="G31" s="656"/>
      <c r="H31" s="1016">
        <f>SUM(H23:H30)</f>
        <v>1169844.5900000001</v>
      </c>
      <c r="I31" s="852">
        <f>H31/F22</f>
        <v>3.6400000000000002E-2</v>
      </c>
      <c r="J31" s="368"/>
      <c r="K31" s="365"/>
      <c r="L31" s="365"/>
      <c r="R31" s="524"/>
      <c r="S31" s="524"/>
      <c r="T31" s="524"/>
      <c r="U31" s="524"/>
      <c r="V31" s="524"/>
    </row>
    <row r="32" spans="1:22" s="520" customFormat="1" ht="21" customHeight="1" x14ac:dyDescent="0.25">
      <c r="A32" s="638"/>
      <c r="B32" s="1019" t="s">
        <v>372</v>
      </c>
      <c r="C32" s="534"/>
      <c r="D32" s="534"/>
      <c r="E32" s="534"/>
      <c r="F32" s="373">
        <f>SUM(F33:F41)</f>
        <v>6141262.2400000002</v>
      </c>
      <c r="G32" s="367"/>
      <c r="H32" s="827"/>
      <c r="I32" s="525"/>
      <c r="J32" s="368"/>
      <c r="K32" s="365"/>
      <c r="L32" s="365"/>
      <c r="R32" s="524"/>
      <c r="S32" s="524"/>
      <c r="T32" s="524"/>
      <c r="U32" s="524"/>
      <c r="V32" s="524"/>
    </row>
    <row r="33" spans="1:22" s="365" customFormat="1" ht="17.25" customHeight="1" x14ac:dyDescent="0.25">
      <c r="B33" s="1004">
        <v>150000127101</v>
      </c>
      <c r="C33" s="843">
        <v>44834</v>
      </c>
      <c r="D33" s="1020">
        <v>44837</v>
      </c>
      <c r="E33" s="843" t="s">
        <v>562</v>
      </c>
      <c r="F33" s="1005"/>
      <c r="G33" s="1006">
        <v>1.1000000000000001</v>
      </c>
      <c r="H33" s="827">
        <f t="shared" si="0"/>
        <v>0</v>
      </c>
      <c r="I33" s="1008"/>
      <c r="J33" s="1007"/>
      <c r="K33" s="1021" t="s">
        <v>375</v>
      </c>
      <c r="L33" s="1711" t="s">
        <v>563</v>
      </c>
      <c r="M33" s="1712"/>
      <c r="R33" s="353"/>
      <c r="S33" s="353"/>
      <c r="T33" s="353"/>
      <c r="U33" s="353"/>
      <c r="V33" s="353"/>
    </row>
    <row r="34" spans="1:22" s="365" customFormat="1" ht="17.25" customHeight="1" x14ac:dyDescent="0.25">
      <c r="B34" s="1004">
        <v>150000127110</v>
      </c>
      <c r="C34" s="843">
        <v>44804</v>
      </c>
      <c r="D34" s="1020">
        <v>44805</v>
      </c>
      <c r="E34" s="843" t="s">
        <v>578</v>
      </c>
      <c r="F34" s="1005"/>
      <c r="G34" s="1006">
        <v>1.1000000000000001</v>
      </c>
      <c r="H34" s="827">
        <f t="shared" si="0"/>
        <v>0</v>
      </c>
      <c r="I34" s="1008"/>
      <c r="J34" s="1007"/>
      <c r="K34" s="1021" t="s">
        <v>375</v>
      </c>
      <c r="L34" s="1711"/>
      <c r="M34" s="1712"/>
      <c r="R34" s="353"/>
      <c r="S34" s="353"/>
      <c r="T34" s="353"/>
      <c r="U34" s="353"/>
      <c r="V34" s="353"/>
    </row>
    <row r="35" spans="1:22" s="640" customFormat="1" ht="17.25" customHeight="1" x14ac:dyDescent="0.25">
      <c r="B35" s="1010">
        <v>110000082424</v>
      </c>
      <c r="C35" s="1011">
        <v>44771</v>
      </c>
      <c r="D35" s="1011">
        <v>44863</v>
      </c>
      <c r="E35" s="966" t="s">
        <v>556</v>
      </c>
      <c r="F35" s="1012">
        <v>863871.76</v>
      </c>
      <c r="G35" s="1013">
        <v>0.75</v>
      </c>
      <c r="H35" s="827">
        <f>F35*G35/100/360*90</f>
        <v>1619.76</v>
      </c>
      <c r="I35" s="828"/>
      <c r="J35" s="827"/>
      <c r="K35" s="1022"/>
      <c r="L35" s="1023"/>
      <c r="R35" s="1023"/>
      <c r="S35" s="1023"/>
      <c r="T35" s="1023"/>
      <c r="U35" s="1023"/>
      <c r="V35" s="1023"/>
    </row>
    <row r="36" spans="1:22" s="640" customFormat="1" ht="17.25" customHeight="1" x14ac:dyDescent="0.25">
      <c r="B36" s="1010">
        <v>110000082344</v>
      </c>
      <c r="C36" s="1011">
        <v>44768</v>
      </c>
      <c r="D36" s="1011">
        <v>44858</v>
      </c>
      <c r="E36" s="966" t="s">
        <v>556</v>
      </c>
      <c r="F36" s="1012">
        <v>3450958.6</v>
      </c>
      <c r="G36" s="1013">
        <v>0.75</v>
      </c>
      <c r="H36" s="827">
        <f>F36*G36/100/360*90</f>
        <v>6470.55</v>
      </c>
      <c r="I36" s="828"/>
      <c r="J36" s="827"/>
      <c r="K36" s="1022"/>
      <c r="R36" s="1023"/>
      <c r="S36" s="1023"/>
      <c r="T36" s="1023"/>
      <c r="U36" s="1023"/>
      <c r="V36" s="1023"/>
    </row>
    <row r="37" spans="1:22" s="640" customFormat="1" ht="17.25" customHeight="1" x14ac:dyDescent="0.25">
      <c r="B37" s="1010">
        <v>110000082335</v>
      </c>
      <c r="C37" s="1011">
        <v>44768</v>
      </c>
      <c r="D37" s="1011">
        <v>44858</v>
      </c>
      <c r="E37" s="966" t="s">
        <v>556</v>
      </c>
      <c r="F37" s="1012">
        <v>110850</v>
      </c>
      <c r="G37" s="1013">
        <v>0.75</v>
      </c>
      <c r="H37" s="827">
        <f>F37*G37/100/360*90</f>
        <v>207.84</v>
      </c>
      <c r="I37" s="828"/>
      <c r="J37" s="827"/>
      <c r="K37" s="1022"/>
      <c r="R37" s="1023"/>
      <c r="S37" s="1023"/>
      <c r="T37" s="1023"/>
      <c r="U37" s="1023"/>
      <c r="V37" s="1023"/>
    </row>
    <row r="38" spans="1:22" s="640" customFormat="1" ht="17.25" customHeight="1" x14ac:dyDescent="0.25">
      <c r="B38" s="1010">
        <v>110000082433</v>
      </c>
      <c r="C38" s="1011">
        <v>44768</v>
      </c>
      <c r="D38" s="1011">
        <v>44858</v>
      </c>
      <c r="E38" s="966" t="s">
        <v>556</v>
      </c>
      <c r="F38" s="1012">
        <v>25246.17</v>
      </c>
      <c r="G38" s="1013">
        <v>0.75</v>
      </c>
      <c r="H38" s="827">
        <f>F38*G38/100/360*90</f>
        <v>47.34</v>
      </c>
      <c r="I38" s="828"/>
      <c r="J38" s="827"/>
      <c r="K38" s="1022">
        <v>10000133051</v>
      </c>
      <c r="R38" s="1023"/>
      <c r="S38" s="1023"/>
      <c r="T38" s="1023"/>
      <c r="U38" s="1023"/>
      <c r="V38" s="1023"/>
    </row>
    <row r="39" spans="1:22" s="520" customFormat="1" ht="21" customHeight="1" x14ac:dyDescent="0.25">
      <c r="A39" s="365"/>
      <c r="B39" s="414">
        <v>110000058115</v>
      </c>
      <c r="C39" s="408" t="s">
        <v>537</v>
      </c>
      <c r="D39" s="408">
        <v>45707</v>
      </c>
      <c r="E39" s="408" t="s">
        <v>381</v>
      </c>
      <c r="F39" s="854">
        <v>747863.42</v>
      </c>
      <c r="G39" s="404">
        <v>3.15</v>
      </c>
      <c r="H39" s="827">
        <f t="shared" si="0"/>
        <v>23557.7</v>
      </c>
      <c r="I39" s="496"/>
      <c r="J39" s="497"/>
      <c r="K39" s="414" t="s">
        <v>375</v>
      </c>
      <c r="L39" s="405" t="s">
        <v>538</v>
      </c>
      <c r="R39" s="524"/>
      <c r="S39" s="524"/>
      <c r="T39" s="524"/>
      <c r="U39" s="524"/>
      <c r="V39" s="524"/>
    </row>
    <row r="40" spans="1:22" s="370" customFormat="1" ht="21" customHeight="1" x14ac:dyDescent="0.25">
      <c r="A40" s="365"/>
      <c r="B40" s="414">
        <v>110000053333</v>
      </c>
      <c r="C40" s="408">
        <v>42916</v>
      </c>
      <c r="D40" s="853">
        <v>45838</v>
      </c>
      <c r="E40" s="408" t="s">
        <v>383</v>
      </c>
      <c r="F40" s="854">
        <v>725842.91</v>
      </c>
      <c r="G40" s="502">
        <v>3.25</v>
      </c>
      <c r="H40" s="827">
        <f t="shared" si="0"/>
        <v>23589.89</v>
      </c>
      <c r="I40" s="503"/>
      <c r="J40" s="504"/>
      <c r="K40" s="414" t="s">
        <v>375</v>
      </c>
      <c r="L40" s="365" t="s">
        <v>397</v>
      </c>
      <c r="M40" s="365"/>
      <c r="R40" s="374"/>
      <c r="S40" s="374"/>
      <c r="T40" s="374"/>
      <c r="U40" s="374"/>
      <c r="V40" s="374"/>
    </row>
    <row r="41" spans="1:22" s="365" customFormat="1" ht="21" customHeight="1" x14ac:dyDescent="0.25">
      <c r="B41" s="414">
        <v>110000058616</v>
      </c>
      <c r="C41" s="408" t="s">
        <v>398</v>
      </c>
      <c r="D41" s="853">
        <v>46020</v>
      </c>
      <c r="E41" s="408" t="s">
        <v>383</v>
      </c>
      <c r="F41" s="854">
        <v>216629.38</v>
      </c>
      <c r="G41" s="404">
        <v>3.3</v>
      </c>
      <c r="H41" s="827">
        <f t="shared" si="0"/>
        <v>7148.77</v>
      </c>
      <c r="I41" s="496"/>
      <c r="J41" s="497"/>
      <c r="K41" s="414" t="s">
        <v>375</v>
      </c>
      <c r="L41" s="365" t="s">
        <v>400</v>
      </c>
      <c r="R41" s="353"/>
      <c r="S41" s="353"/>
      <c r="T41" s="353"/>
      <c r="U41" s="353"/>
      <c r="V41" s="353"/>
    </row>
    <row r="42" spans="1:22" s="365" customFormat="1" ht="21" customHeight="1" x14ac:dyDescent="0.25">
      <c r="B42" s="1024" t="s">
        <v>401</v>
      </c>
      <c r="C42" s="528"/>
      <c r="D42" s="528"/>
      <c r="E42" s="528"/>
      <c r="F42" s="373">
        <f>SUM(F43:F50)</f>
        <v>4236872.67</v>
      </c>
      <c r="G42" s="367"/>
      <c r="H42" s="1016">
        <f>SUM(H33:H41)</f>
        <v>62641.85</v>
      </c>
      <c r="I42" s="852">
        <f>H42/F32</f>
        <v>1.0200000000000001E-2</v>
      </c>
      <c r="J42" s="368"/>
      <c r="M42" s="337"/>
      <c r="R42" s="353"/>
      <c r="S42" s="353"/>
      <c r="T42" s="353"/>
      <c r="U42" s="353"/>
      <c r="V42" s="353"/>
    </row>
    <row r="43" spans="1:22" s="520" customFormat="1" ht="21" customHeight="1" x14ac:dyDescent="0.25">
      <c r="A43" s="365"/>
      <c r="B43" s="415" t="s">
        <v>540</v>
      </c>
      <c r="C43" s="853">
        <v>42599</v>
      </c>
      <c r="D43" s="853">
        <v>45155</v>
      </c>
      <c r="E43" s="408" t="s">
        <v>381</v>
      </c>
      <c r="F43" s="854">
        <v>83810.31</v>
      </c>
      <c r="G43" s="404">
        <v>4.8</v>
      </c>
      <c r="H43" s="827">
        <f t="shared" si="0"/>
        <v>4022.89</v>
      </c>
      <c r="I43" s="496"/>
      <c r="J43" s="497"/>
      <c r="K43" s="414" t="s">
        <v>375</v>
      </c>
      <c r="L43" s="405"/>
      <c r="M43" s="337"/>
      <c r="R43" s="524"/>
      <c r="S43" s="524"/>
      <c r="T43" s="524"/>
      <c r="U43" s="524"/>
      <c r="V43" s="524"/>
    </row>
    <row r="44" spans="1:22" s="609" customFormat="1" ht="21" customHeight="1" x14ac:dyDescent="0.25">
      <c r="A44" s="640"/>
      <c r="B44" s="415" t="s">
        <v>541</v>
      </c>
      <c r="C44" s="853">
        <v>44075</v>
      </c>
      <c r="D44" s="853">
        <v>45168</v>
      </c>
      <c r="E44" s="408" t="s">
        <v>477</v>
      </c>
      <c r="F44" s="854">
        <v>3447151.24</v>
      </c>
      <c r="G44" s="404">
        <v>3</v>
      </c>
      <c r="H44" s="827">
        <f t="shared" si="0"/>
        <v>103414.54</v>
      </c>
      <c r="I44" s="496"/>
      <c r="J44" s="497"/>
      <c r="K44" s="414" t="s">
        <v>375</v>
      </c>
      <c r="L44" s="610"/>
      <c r="M44" s="772"/>
      <c r="R44" s="611"/>
      <c r="S44" s="611"/>
      <c r="T44" s="611"/>
      <c r="U44" s="611"/>
      <c r="V44" s="611"/>
    </row>
    <row r="45" spans="1:22" s="520" customFormat="1" ht="21" customHeight="1" x14ac:dyDescent="0.25">
      <c r="A45" s="365"/>
      <c r="B45" s="415" t="s">
        <v>528</v>
      </c>
      <c r="C45" s="853">
        <v>43340</v>
      </c>
      <c r="D45" s="853">
        <v>45530</v>
      </c>
      <c r="E45" s="408" t="s">
        <v>379</v>
      </c>
      <c r="F45" s="854">
        <v>7509.6</v>
      </c>
      <c r="G45" s="404">
        <v>4.875</v>
      </c>
      <c r="H45" s="827">
        <f t="shared" si="0"/>
        <v>366.09</v>
      </c>
      <c r="I45" s="496"/>
      <c r="J45" s="497"/>
      <c r="K45" s="414" t="s">
        <v>375</v>
      </c>
      <c r="L45" s="405" t="s">
        <v>480</v>
      </c>
      <c r="Q45" s="524"/>
      <c r="R45" s="524"/>
      <c r="S45" s="524"/>
      <c r="T45" s="524"/>
      <c r="U45" s="524"/>
    </row>
    <row r="46" spans="1:22" s="370" customFormat="1" ht="21" customHeight="1" x14ac:dyDescent="0.25">
      <c r="A46" s="365"/>
      <c r="B46" s="415" t="s">
        <v>542</v>
      </c>
      <c r="C46" s="853">
        <v>43017</v>
      </c>
      <c r="D46" s="408">
        <v>45574</v>
      </c>
      <c r="E46" s="408" t="s">
        <v>381</v>
      </c>
      <c r="F46" s="854">
        <v>171992.7</v>
      </c>
      <c r="G46" s="404">
        <v>4.5</v>
      </c>
      <c r="H46" s="827">
        <f t="shared" si="0"/>
        <v>7739.67</v>
      </c>
      <c r="I46" s="496"/>
      <c r="J46" s="497"/>
      <c r="K46" s="414" t="s">
        <v>375</v>
      </c>
      <c r="L46" s="405">
        <v>2284</v>
      </c>
      <c r="M46" s="365"/>
      <c r="R46" s="374"/>
      <c r="S46" s="374"/>
      <c r="T46" s="374"/>
      <c r="U46" s="374"/>
      <c r="V46" s="374"/>
    </row>
    <row r="47" spans="1:22" s="370" customFormat="1" ht="21" customHeight="1" x14ac:dyDescent="0.25">
      <c r="A47" s="365"/>
      <c r="B47" s="415" t="s">
        <v>543</v>
      </c>
      <c r="C47" s="853">
        <v>43511</v>
      </c>
      <c r="D47" s="408">
        <v>45702</v>
      </c>
      <c r="E47" s="408" t="s">
        <v>379</v>
      </c>
      <c r="F47" s="854">
        <v>130690.62</v>
      </c>
      <c r="G47" s="404">
        <v>5</v>
      </c>
      <c r="H47" s="827">
        <f t="shared" si="0"/>
        <v>6534.53</v>
      </c>
      <c r="I47" s="496"/>
      <c r="J47" s="497"/>
      <c r="K47" s="414" t="s">
        <v>375</v>
      </c>
      <c r="L47" s="365" t="s">
        <v>420</v>
      </c>
      <c r="M47" s="365"/>
      <c r="R47" s="374"/>
      <c r="S47" s="374"/>
      <c r="T47" s="374"/>
      <c r="U47" s="374"/>
      <c r="V47" s="374"/>
    </row>
    <row r="48" spans="1:22" s="370" customFormat="1" ht="21" customHeight="1" x14ac:dyDescent="0.25">
      <c r="A48" s="365"/>
      <c r="B48" s="415" t="s">
        <v>544</v>
      </c>
      <c r="C48" s="853">
        <v>43403</v>
      </c>
      <c r="D48" s="408">
        <v>45960</v>
      </c>
      <c r="E48" s="408" t="s">
        <v>381</v>
      </c>
      <c r="F48" s="854">
        <v>210447.4</v>
      </c>
      <c r="G48" s="404">
        <v>5</v>
      </c>
      <c r="H48" s="827">
        <f t="shared" si="0"/>
        <v>10522.37</v>
      </c>
      <c r="I48" s="496"/>
      <c r="J48" s="497"/>
      <c r="K48" s="414" t="s">
        <v>375</v>
      </c>
      <c r="L48" s="405" t="s">
        <v>532</v>
      </c>
      <c r="M48" s="365"/>
      <c r="R48" s="374"/>
      <c r="S48" s="374"/>
      <c r="T48" s="374"/>
      <c r="U48" s="374"/>
      <c r="V48" s="374"/>
    </row>
    <row r="49" spans="1:22" s="520" customFormat="1" ht="21" customHeight="1" x14ac:dyDescent="0.25">
      <c r="A49" s="365"/>
      <c r="B49" s="415" t="s">
        <v>545</v>
      </c>
      <c r="C49" s="853">
        <v>43434</v>
      </c>
      <c r="D49" s="853">
        <v>45988</v>
      </c>
      <c r="E49" s="408" t="s">
        <v>381</v>
      </c>
      <c r="F49" s="854">
        <v>130000</v>
      </c>
      <c r="G49" s="404">
        <v>5.125</v>
      </c>
      <c r="H49" s="827">
        <f t="shared" si="0"/>
        <v>6662.5</v>
      </c>
      <c r="I49" s="496"/>
      <c r="J49" s="497"/>
      <c r="K49" s="414" t="s">
        <v>375</v>
      </c>
      <c r="L49" s="405" t="s">
        <v>451</v>
      </c>
      <c r="R49" s="524"/>
      <c r="S49" s="524"/>
      <c r="T49" s="524"/>
      <c r="U49" s="524"/>
      <c r="V49" s="524"/>
    </row>
    <row r="50" spans="1:22" s="520" customFormat="1" ht="21" customHeight="1" x14ac:dyDescent="0.25">
      <c r="A50" s="365"/>
      <c r="B50" s="415" t="s">
        <v>546</v>
      </c>
      <c r="C50" s="853">
        <v>43452</v>
      </c>
      <c r="D50" s="853">
        <v>46007</v>
      </c>
      <c r="E50" s="408" t="s">
        <v>381</v>
      </c>
      <c r="F50" s="854">
        <v>55270.8</v>
      </c>
      <c r="G50" s="404">
        <v>5.125</v>
      </c>
      <c r="H50" s="827">
        <f t="shared" si="0"/>
        <v>2832.63</v>
      </c>
      <c r="I50" s="496"/>
      <c r="J50" s="497"/>
      <c r="K50" s="414" t="s">
        <v>375</v>
      </c>
      <c r="L50" s="405" t="s">
        <v>453</v>
      </c>
      <c r="R50" s="524"/>
      <c r="S50" s="524"/>
      <c r="T50" s="524"/>
      <c r="U50" s="524"/>
      <c r="V50" s="524"/>
    </row>
    <row r="51" spans="1:22" s="937" customFormat="1" ht="21" customHeight="1" x14ac:dyDescent="0.3">
      <c r="A51" s="1025"/>
      <c r="B51" s="1026" t="str">
        <f>'[10]SERVICIO DE CONTABILIDAD'!$B$17</f>
        <v xml:space="preserve">FUENTE: DEPTO DE TESORERIA - DNF </v>
      </c>
      <c r="C51" s="1027"/>
      <c r="D51" s="1027"/>
      <c r="E51" s="1027"/>
      <c r="F51" s="1027"/>
      <c r="G51" s="1028"/>
      <c r="H51" s="941">
        <f>SUM(H43:H50)</f>
        <v>142095.22</v>
      </c>
      <c r="I51" s="1207">
        <f>H51/F42</f>
        <v>3.3500000000000002E-2</v>
      </c>
      <c r="J51" s="948"/>
      <c r="K51" s="1029"/>
      <c r="L51" s="1029"/>
      <c r="M51" s="943"/>
      <c r="R51" s="944"/>
      <c r="S51" s="944"/>
      <c r="T51" s="944"/>
      <c r="U51" s="944"/>
      <c r="V51" s="944"/>
    </row>
    <row r="52" spans="1:22" s="937" customFormat="1" ht="21" customHeight="1" x14ac:dyDescent="0.3">
      <c r="A52" s="1025"/>
      <c r="B52" s="945">
        <f>'[10]VENC. '!$B$176</f>
        <v>44839</v>
      </c>
      <c r="C52" s="946"/>
      <c r="D52" s="946"/>
      <c r="E52" s="946"/>
      <c r="F52" s="946"/>
      <c r="G52" s="947"/>
      <c r="H52" s="948"/>
      <c r="I52" s="949"/>
      <c r="J52" s="948"/>
      <c r="K52" s="839"/>
      <c r="L52" s="891"/>
      <c r="M52" s="891"/>
      <c r="R52" s="944"/>
      <c r="S52" s="944"/>
      <c r="T52" s="944"/>
      <c r="U52" s="944"/>
      <c r="V52" s="944"/>
    </row>
    <row r="53" spans="1:22" s="937" customFormat="1" ht="21" customHeight="1" x14ac:dyDescent="0.3">
      <c r="A53" s="1025"/>
      <c r="B53" s="950" t="str">
        <f>'[10]VENC. '!B$177</f>
        <v>Preparado por:    _______________________________________</v>
      </c>
      <c r="C53" s="951"/>
      <c r="D53" s="1704" t="str">
        <f>'[10]VENC. '!D$177</f>
        <v>Revisado por:      ___________________________________</v>
      </c>
      <c r="E53" s="1704"/>
      <c r="F53" s="1704"/>
      <c r="G53" s="1705"/>
      <c r="H53" s="952"/>
      <c r="I53" s="953"/>
      <c r="J53" s="952"/>
      <c r="K53" s="839"/>
      <c r="L53" s="891"/>
      <c r="M53" s="891"/>
      <c r="R53" s="944"/>
      <c r="S53" s="944"/>
      <c r="T53" s="944"/>
      <c r="U53" s="944"/>
      <c r="V53" s="944"/>
    </row>
    <row r="54" spans="1:22" s="937" customFormat="1" ht="9.75" customHeight="1" x14ac:dyDescent="0.3">
      <c r="A54" s="1025"/>
      <c r="B54" s="1706" t="s">
        <v>573</v>
      </c>
      <c r="C54" s="1704"/>
      <c r="D54" s="951"/>
      <c r="E54" s="951"/>
      <c r="F54" s="951" t="s">
        <v>574</v>
      </c>
      <c r="G54" s="1030"/>
      <c r="H54" s="1031"/>
      <c r="I54" s="1032"/>
      <c r="J54" s="1031"/>
      <c r="K54" s="839"/>
      <c r="L54" s="891"/>
      <c r="M54" s="891"/>
      <c r="R54" s="944"/>
      <c r="S54" s="944"/>
      <c r="T54" s="944"/>
      <c r="U54" s="944"/>
      <c r="V54" s="944"/>
    </row>
    <row r="55" spans="1:22" s="937" customFormat="1" ht="21" customHeight="1" x14ac:dyDescent="0.3">
      <c r="A55" s="1025"/>
      <c r="B55" s="1699" t="str">
        <f>'[10]VENC. '!B179:C179</f>
        <v>Analista de Presupuesto</v>
      </c>
      <c r="C55" s="1700"/>
      <c r="D55" s="1033"/>
      <c r="E55" s="1700" t="s">
        <v>548</v>
      </c>
      <c r="F55" s="1700"/>
      <c r="G55" s="1701"/>
      <c r="H55" s="952"/>
      <c r="I55" s="953"/>
      <c r="J55" s="952"/>
      <c r="K55" s="839"/>
      <c r="L55" s="891"/>
      <c r="M55" s="891"/>
      <c r="R55" s="944"/>
      <c r="S55" s="944"/>
      <c r="T55" s="944"/>
      <c r="U55" s="944"/>
      <c r="V55" s="944"/>
    </row>
    <row r="59" spans="1:22" ht="21" customHeight="1" x14ac:dyDescent="0.35">
      <c r="C59" s="453" t="s">
        <v>18</v>
      </c>
    </row>
  </sheetData>
  <mergeCells count="21">
    <mergeCell ref="B55:C55"/>
    <mergeCell ref="E55:G55"/>
    <mergeCell ref="M6:R7"/>
    <mergeCell ref="B10:D10"/>
    <mergeCell ref="L13:M14"/>
    <mergeCell ref="L33:M34"/>
    <mergeCell ref="D53:G53"/>
    <mergeCell ref="B54:C54"/>
    <mergeCell ref="B6:B8"/>
    <mergeCell ref="C6:D7"/>
    <mergeCell ref="E6:E8"/>
    <mergeCell ref="F6:F7"/>
    <mergeCell ref="G6:G8"/>
    <mergeCell ref="K6:K8"/>
    <mergeCell ref="N1:R1"/>
    <mergeCell ref="B2:G2"/>
    <mergeCell ref="M2:R2"/>
    <mergeCell ref="B3:G3"/>
    <mergeCell ref="M3:M5"/>
    <mergeCell ref="B4:G4"/>
    <mergeCell ref="B5:G5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V74"/>
  <sheetViews>
    <sheetView workbookViewId="0">
      <selection activeCell="I68" sqref="I68"/>
    </sheetView>
  </sheetViews>
  <sheetFormatPr baseColWidth="10" defaultColWidth="17.7265625" defaultRowHeight="15.5" x14ac:dyDescent="0.35"/>
  <cols>
    <col min="1" max="1" width="7.453125" style="355" customWidth="1"/>
    <col min="2" max="2" width="37" style="453" customWidth="1"/>
    <col min="3" max="5" width="17.7265625" style="453"/>
    <col min="6" max="6" width="19.453125" style="453" customWidth="1"/>
    <col min="7" max="7" width="22.1796875" style="344" customWidth="1"/>
    <col min="8" max="8" width="22.1796875" style="343" customWidth="1"/>
    <col min="9" max="9" width="22.1796875" style="892" customWidth="1"/>
    <col min="10" max="10" width="22.1796875" style="343" customWidth="1"/>
    <col min="11" max="11" width="28.1796875" style="405" customWidth="1"/>
    <col min="12" max="12" width="28.1796875" style="365" customWidth="1"/>
    <col min="13" max="13" width="17.7265625" style="358"/>
    <col min="14" max="17" width="17.7265625" style="355"/>
    <col min="18" max="22" width="17.7265625" style="359"/>
    <col min="23" max="16384" width="17.7265625" style="355"/>
  </cols>
  <sheetData>
    <row r="1" spans="1:22" s="331" customFormat="1" ht="17.25" customHeight="1" x14ac:dyDescent="0.25">
      <c r="B1" s="956"/>
      <c r="C1" s="957"/>
      <c r="D1" s="957"/>
      <c r="E1" s="957"/>
      <c r="F1" s="957"/>
      <c r="G1" s="958" t="s">
        <v>499</v>
      </c>
      <c r="H1" s="343"/>
      <c r="I1" s="892"/>
      <c r="J1" s="343"/>
      <c r="K1" s="405"/>
      <c r="L1" s="365"/>
      <c r="M1" s="338"/>
      <c r="N1" s="1654"/>
      <c r="O1" s="1654"/>
      <c r="P1" s="1654"/>
      <c r="Q1" s="1654"/>
      <c r="R1" s="1654"/>
      <c r="S1" s="340"/>
      <c r="T1" s="340"/>
      <c r="U1" s="340"/>
      <c r="V1" s="340"/>
    </row>
    <row r="2" spans="1:22" s="341" customFormat="1" ht="21.75" customHeight="1" x14ac:dyDescent="0.25">
      <c r="B2" s="1655" t="s">
        <v>0</v>
      </c>
      <c r="C2" s="1656"/>
      <c r="D2" s="1656"/>
      <c r="E2" s="1656"/>
      <c r="F2" s="1656"/>
      <c r="G2" s="1657"/>
      <c r="H2" s="343"/>
      <c r="I2" s="892"/>
      <c r="J2" s="343"/>
      <c r="K2" s="405"/>
      <c r="L2" s="365"/>
      <c r="M2" s="1658"/>
      <c r="N2" s="1658"/>
      <c r="O2" s="1658"/>
      <c r="P2" s="1658"/>
      <c r="Q2" s="1658"/>
      <c r="R2" s="1658"/>
      <c r="S2" s="346"/>
      <c r="T2" s="346"/>
      <c r="U2" s="346"/>
      <c r="V2" s="346"/>
    </row>
    <row r="3" spans="1:22" s="352" customFormat="1" ht="21.75" customHeight="1" x14ac:dyDescent="0.25">
      <c r="A3" s="347"/>
      <c r="B3" s="1659" t="s">
        <v>426</v>
      </c>
      <c r="C3" s="1660"/>
      <c r="D3" s="1660"/>
      <c r="E3" s="1660"/>
      <c r="F3" s="1660"/>
      <c r="G3" s="1661"/>
      <c r="H3" s="348"/>
      <c r="I3" s="959"/>
      <c r="J3" s="348"/>
      <c r="K3" s="413"/>
      <c r="L3" s="668"/>
      <c r="M3" s="1662"/>
      <c r="N3" s="351"/>
      <c r="O3" s="351"/>
      <c r="P3" s="351"/>
      <c r="Q3" s="351"/>
      <c r="R3" s="351"/>
      <c r="S3" s="346"/>
      <c r="T3" s="346"/>
      <c r="U3" s="346"/>
      <c r="V3" s="347"/>
    </row>
    <row r="4" spans="1:22" s="352" customFormat="1" ht="29.25" customHeight="1" x14ac:dyDescent="0.25">
      <c r="A4" s="347"/>
      <c r="B4" s="1659" t="s">
        <v>500</v>
      </c>
      <c r="C4" s="1660"/>
      <c r="D4" s="1660"/>
      <c r="E4" s="1660"/>
      <c r="F4" s="1660"/>
      <c r="G4" s="1661"/>
      <c r="H4" s="348"/>
      <c r="I4" s="959"/>
      <c r="J4" s="348"/>
      <c r="K4" s="413"/>
      <c r="L4" s="668"/>
      <c r="M4" s="1662"/>
      <c r="N4" s="351"/>
      <c r="O4" s="351"/>
      <c r="P4" s="351"/>
      <c r="Q4" s="351"/>
      <c r="R4" s="351"/>
      <c r="S4" s="346"/>
      <c r="T4" s="346"/>
      <c r="U4" s="346"/>
      <c r="V4" s="347"/>
    </row>
    <row r="5" spans="1:22" s="341" customFormat="1" ht="21.75" customHeight="1" x14ac:dyDescent="0.25">
      <c r="B5" s="1663" t="str">
        <f>'[10]VENC. '!$B$4</f>
        <v xml:space="preserve"> AL 30 DE SEPTIEMBRE  2022</v>
      </c>
      <c r="C5" s="1664"/>
      <c r="D5" s="1664"/>
      <c r="E5" s="1664"/>
      <c r="F5" s="1664"/>
      <c r="G5" s="1665"/>
      <c r="H5" s="343"/>
      <c r="I5" s="892"/>
      <c r="J5" s="343"/>
      <c r="K5" s="413"/>
      <c r="L5" s="589"/>
      <c r="M5" s="1662"/>
      <c r="N5" s="353"/>
      <c r="O5" s="353"/>
      <c r="P5" s="345"/>
      <c r="Q5" s="345"/>
      <c r="R5" s="354"/>
      <c r="S5" s="346"/>
      <c r="T5" s="346"/>
      <c r="U5" s="346"/>
      <c r="V5" s="346"/>
    </row>
    <row r="6" spans="1:22" ht="13.5" customHeight="1" x14ac:dyDescent="0.35">
      <c r="B6" s="1649" t="s">
        <v>362</v>
      </c>
      <c r="C6" s="1659" t="s">
        <v>363</v>
      </c>
      <c r="D6" s="1661"/>
      <c r="E6" s="1649" t="s">
        <v>364</v>
      </c>
      <c r="F6" s="1649" t="s">
        <v>365</v>
      </c>
      <c r="G6" s="1649" t="s">
        <v>366</v>
      </c>
      <c r="H6" s="356"/>
      <c r="I6" s="836"/>
      <c r="J6" s="356"/>
      <c r="K6" s="1653" t="s">
        <v>367</v>
      </c>
      <c r="M6" s="1640"/>
      <c r="N6" s="1640"/>
      <c r="O6" s="1640"/>
      <c r="P6" s="1640"/>
      <c r="Q6" s="1640"/>
      <c r="R6" s="1640"/>
    </row>
    <row r="7" spans="1:22" ht="13.5" customHeight="1" x14ac:dyDescent="0.35">
      <c r="B7" s="1649"/>
      <c r="C7" s="1659"/>
      <c r="D7" s="1661"/>
      <c r="E7" s="1649"/>
      <c r="F7" s="1649"/>
      <c r="G7" s="1649"/>
      <c r="H7" s="356"/>
      <c r="I7" s="836"/>
      <c r="J7" s="356"/>
      <c r="K7" s="1649"/>
      <c r="M7" s="1640"/>
      <c r="N7" s="1640"/>
      <c r="O7" s="1640"/>
      <c r="P7" s="1640"/>
      <c r="Q7" s="1640"/>
      <c r="R7" s="1640"/>
    </row>
    <row r="8" spans="1:22" ht="21" customHeight="1" x14ac:dyDescent="0.35">
      <c r="B8" s="1650"/>
      <c r="C8" s="960" t="s">
        <v>368</v>
      </c>
      <c r="D8" s="961" t="s">
        <v>369</v>
      </c>
      <c r="E8" s="1650"/>
      <c r="F8" s="364" t="s">
        <v>370</v>
      </c>
      <c r="G8" s="1650"/>
      <c r="H8" s="363"/>
      <c r="I8" s="837"/>
      <c r="J8" s="363"/>
      <c r="K8" s="1650"/>
      <c r="L8" s="353"/>
      <c r="M8" s="1691"/>
      <c r="N8" s="338"/>
      <c r="O8" s="338"/>
      <c r="P8" s="338"/>
      <c r="Q8" s="338"/>
      <c r="R8" s="338"/>
      <c r="S8" s="340"/>
    </row>
    <row r="9" spans="1:22" s="370" customFormat="1" ht="12.75" customHeight="1" x14ac:dyDescent="0.25">
      <c r="B9" s="677"/>
      <c r="C9" s="453"/>
      <c r="D9" s="678" t="s">
        <v>18</v>
      </c>
      <c r="E9" s="679"/>
      <c r="F9" s="680"/>
      <c r="G9" s="342"/>
      <c r="H9" s="343"/>
      <c r="I9" s="892"/>
      <c r="J9" s="343"/>
      <c r="K9" s="674"/>
      <c r="L9" s="353"/>
      <c r="M9" s="1691"/>
      <c r="N9" s="365"/>
      <c r="O9" s="365"/>
      <c r="P9" s="365"/>
      <c r="Q9" s="365"/>
      <c r="R9" s="353"/>
      <c r="S9" s="374"/>
      <c r="T9" s="374"/>
      <c r="U9" s="374"/>
      <c r="V9" s="374"/>
    </row>
    <row r="10" spans="1:22" ht="21" customHeight="1" x14ac:dyDescent="0.35">
      <c r="B10" s="1641" t="s">
        <v>502</v>
      </c>
      <c r="C10" s="1642"/>
      <c r="D10" s="1642"/>
      <c r="E10" s="1642"/>
      <c r="F10" s="366"/>
      <c r="G10" s="342"/>
      <c r="K10" s="674"/>
      <c r="L10" s="353"/>
      <c r="M10" s="674"/>
      <c r="N10" s="670"/>
      <c r="O10" s="670"/>
      <c r="P10" s="670"/>
      <c r="Q10" s="670"/>
      <c r="R10" s="670"/>
    </row>
    <row r="11" spans="1:22" ht="21" customHeight="1" x14ac:dyDescent="0.35">
      <c r="B11" s="684" t="s">
        <v>372</v>
      </c>
      <c r="C11" s="1034"/>
      <c r="D11" s="1034"/>
      <c r="E11" s="1034"/>
      <c r="F11" s="373"/>
      <c r="G11" s="342"/>
      <c r="K11" s="674"/>
      <c r="L11" s="353"/>
      <c r="M11" s="674"/>
      <c r="N11" s="670"/>
      <c r="O11" s="670"/>
      <c r="P11" s="670"/>
      <c r="Q11" s="670"/>
      <c r="R11" s="670"/>
    </row>
    <row r="12" spans="1:22" s="370" customFormat="1" ht="21" customHeight="1" x14ac:dyDescent="0.25">
      <c r="B12" s="759" t="s">
        <v>503</v>
      </c>
      <c r="C12" s="685"/>
      <c r="D12" s="685"/>
      <c r="E12" s="372"/>
      <c r="F12" s="373"/>
      <c r="G12" s="342"/>
      <c r="H12" s="343"/>
      <c r="I12" s="892"/>
      <c r="J12" s="343"/>
      <c r="K12" s="674"/>
      <c r="L12" s="353"/>
      <c r="M12" s="672"/>
      <c r="R12" s="374"/>
      <c r="S12" s="374"/>
      <c r="T12" s="374"/>
      <c r="U12" s="374"/>
      <c r="V12" s="374"/>
    </row>
    <row r="13" spans="1:22" s="370" customFormat="1" ht="21" customHeight="1" x14ac:dyDescent="0.25">
      <c r="B13" s="1035">
        <v>150000127101</v>
      </c>
      <c r="C13" s="843">
        <v>44834</v>
      </c>
      <c r="D13" s="843">
        <v>44837</v>
      </c>
      <c r="E13" s="843" t="s">
        <v>562</v>
      </c>
      <c r="F13" s="1005">
        <v>500000000</v>
      </c>
      <c r="G13" s="1036">
        <v>1.1000000000000001</v>
      </c>
      <c r="H13" s="1037">
        <f>(F13*G13/100)</f>
        <v>5500000</v>
      </c>
      <c r="J13" s="1037"/>
      <c r="K13" s="1039" t="s">
        <v>375</v>
      </c>
      <c r="L13" s="353"/>
      <c r="M13" s="672"/>
      <c r="R13" s="374"/>
      <c r="S13" s="374"/>
      <c r="T13" s="374"/>
      <c r="U13" s="374"/>
      <c r="V13" s="374"/>
    </row>
    <row r="14" spans="1:22" s="370" customFormat="1" ht="21" customHeight="1" x14ac:dyDescent="0.25">
      <c r="B14" s="1035">
        <v>150000127110</v>
      </c>
      <c r="C14" s="843">
        <v>44834</v>
      </c>
      <c r="D14" s="843">
        <v>44837</v>
      </c>
      <c r="E14" s="843" t="s">
        <v>562</v>
      </c>
      <c r="F14" s="1005">
        <v>372800000</v>
      </c>
      <c r="G14" s="1036">
        <v>1.1000000000000001</v>
      </c>
      <c r="H14" s="1037">
        <f>(F14*G14/100)</f>
        <v>4100800</v>
      </c>
      <c r="J14" s="1037"/>
      <c r="K14" s="1039" t="s">
        <v>375</v>
      </c>
      <c r="L14" s="353"/>
      <c r="M14" s="672"/>
      <c r="R14" s="374"/>
      <c r="S14" s="374"/>
      <c r="T14" s="374"/>
      <c r="U14" s="374"/>
      <c r="V14" s="374"/>
    </row>
    <row r="15" spans="1:22" s="370" customFormat="1" ht="21" customHeight="1" x14ac:dyDescent="0.25">
      <c r="B15" s="1035">
        <v>150000127157</v>
      </c>
      <c r="C15" s="843">
        <v>44834</v>
      </c>
      <c r="D15" s="843">
        <v>44837</v>
      </c>
      <c r="E15" s="843" t="s">
        <v>562</v>
      </c>
      <c r="F15" s="1005">
        <v>2262000</v>
      </c>
      <c r="G15" s="1036">
        <v>1.1000000000000001</v>
      </c>
      <c r="H15" s="1037">
        <f>(F15*G15/100)</f>
        <v>24882</v>
      </c>
      <c r="I15" s="1038"/>
      <c r="J15" s="1037"/>
      <c r="K15" s="1039" t="s">
        <v>375</v>
      </c>
      <c r="L15" s="353"/>
      <c r="M15" s="672"/>
      <c r="R15" s="374"/>
      <c r="S15" s="374"/>
      <c r="T15" s="374"/>
      <c r="U15" s="374"/>
      <c r="V15" s="374"/>
    </row>
    <row r="16" spans="1:22" s="370" customFormat="1" ht="21" customHeight="1" x14ac:dyDescent="0.25">
      <c r="B16" s="1040">
        <v>110000082228</v>
      </c>
      <c r="C16" s="966">
        <v>44760</v>
      </c>
      <c r="D16" s="966">
        <v>44851</v>
      </c>
      <c r="E16" s="1041" t="s">
        <v>557</v>
      </c>
      <c r="F16" s="914">
        <f>1000000-12611.46-2917.8-12611.46-2917.8-12611.46-2917.8-12611.46-2917.8</f>
        <v>937882.96</v>
      </c>
      <c r="G16" s="1042">
        <v>0.75</v>
      </c>
      <c r="H16" s="1037">
        <f t="shared" ref="H16:H54" si="0">F16*G16/100</f>
        <v>7034.12</v>
      </c>
      <c r="I16" s="1043"/>
      <c r="J16" s="1044"/>
      <c r="K16" s="1045" t="s">
        <v>375</v>
      </c>
      <c r="L16" s="353"/>
      <c r="M16" s="672"/>
      <c r="R16" s="374"/>
      <c r="S16" s="374"/>
      <c r="T16" s="374"/>
      <c r="U16" s="374"/>
      <c r="V16" s="374"/>
    </row>
    <row r="17" spans="2:22" s="370" customFormat="1" ht="21" customHeight="1" x14ac:dyDescent="0.25">
      <c r="B17" s="553">
        <v>110000082999</v>
      </c>
      <c r="C17" s="726">
        <v>44831</v>
      </c>
      <c r="D17" s="856">
        <v>45103</v>
      </c>
      <c r="E17" s="724" t="s">
        <v>577</v>
      </c>
      <c r="F17" s="981">
        <v>88943771.780000001</v>
      </c>
      <c r="G17" s="1046">
        <v>2.65</v>
      </c>
      <c r="H17" s="1037">
        <f t="shared" si="0"/>
        <v>2357009.9500000002</v>
      </c>
      <c r="I17" s="1047"/>
      <c r="J17" s="1048"/>
      <c r="K17" s="1039" t="s">
        <v>375</v>
      </c>
      <c r="L17" s="1049" t="s">
        <v>579</v>
      </c>
      <c r="M17" s="672"/>
      <c r="R17" s="374"/>
      <c r="S17" s="374"/>
      <c r="T17" s="374"/>
      <c r="U17" s="374"/>
      <c r="V17" s="374"/>
    </row>
    <row r="18" spans="2:22" s="370" customFormat="1" ht="21" customHeight="1" x14ac:dyDescent="0.25">
      <c r="B18" s="1050">
        <v>110000083000</v>
      </c>
      <c r="C18" s="724">
        <v>44831</v>
      </c>
      <c r="D18" s="856">
        <v>45103</v>
      </c>
      <c r="E18" s="724" t="s">
        <v>577</v>
      </c>
      <c r="F18" s="857">
        <v>26112559.23</v>
      </c>
      <c r="G18" s="1051">
        <v>2.65</v>
      </c>
      <c r="H18" s="1037">
        <f t="shared" si="0"/>
        <v>691982.82</v>
      </c>
      <c r="I18" s="1052"/>
      <c r="J18" s="1053"/>
      <c r="K18" s="1039" t="s">
        <v>375</v>
      </c>
      <c r="L18" s="353"/>
      <c r="M18" s="672"/>
      <c r="R18" s="374"/>
      <c r="S18" s="374"/>
      <c r="T18" s="374"/>
      <c r="U18" s="374"/>
      <c r="V18" s="374"/>
    </row>
    <row r="19" spans="2:22" s="370" customFormat="1" ht="21" customHeight="1" x14ac:dyDescent="0.25">
      <c r="B19" s="1050">
        <v>110000083038</v>
      </c>
      <c r="C19" s="724">
        <v>44831</v>
      </c>
      <c r="D19" s="856">
        <v>45103</v>
      </c>
      <c r="E19" s="724" t="s">
        <v>577</v>
      </c>
      <c r="F19" s="857">
        <v>212080346.53999999</v>
      </c>
      <c r="G19" s="1051">
        <v>2.65</v>
      </c>
      <c r="H19" s="1037">
        <f t="shared" si="0"/>
        <v>5620129.1799999997</v>
      </c>
      <c r="I19" s="1052"/>
      <c r="J19" s="1053"/>
      <c r="K19" s="1039" t="s">
        <v>375</v>
      </c>
      <c r="L19" s="353"/>
      <c r="M19" s="672"/>
      <c r="R19" s="374"/>
      <c r="S19" s="374"/>
      <c r="T19" s="374"/>
      <c r="U19" s="374"/>
      <c r="V19" s="374"/>
    </row>
    <row r="20" spans="2:22" s="370" customFormat="1" ht="21" customHeight="1" x14ac:dyDescent="0.25">
      <c r="B20" s="1054">
        <v>110000083029</v>
      </c>
      <c r="C20" s="726">
        <v>44831</v>
      </c>
      <c r="D20" s="856">
        <v>45103</v>
      </c>
      <c r="E20" s="724" t="s">
        <v>577</v>
      </c>
      <c r="F20" s="560">
        <v>189800045.22999999</v>
      </c>
      <c r="G20" s="561">
        <v>2.65</v>
      </c>
      <c r="H20" s="1037">
        <f t="shared" si="0"/>
        <v>5029701.2</v>
      </c>
      <c r="I20" s="858"/>
      <c r="J20" s="804"/>
      <c r="K20" s="1039" t="s">
        <v>375</v>
      </c>
      <c r="L20" s="353"/>
      <c r="M20" s="672"/>
      <c r="R20" s="374"/>
      <c r="S20" s="374"/>
      <c r="T20" s="374"/>
      <c r="U20" s="374"/>
      <c r="V20" s="374"/>
    </row>
    <row r="21" spans="2:22" s="370" customFormat="1" ht="21" customHeight="1" x14ac:dyDescent="0.25">
      <c r="B21" s="1054">
        <v>110000083010</v>
      </c>
      <c r="C21" s="1055">
        <v>44831</v>
      </c>
      <c r="D21" s="1056">
        <v>45103</v>
      </c>
      <c r="E21" s="724" t="s">
        <v>577</v>
      </c>
      <c r="F21" s="566">
        <v>9596722.8300000001</v>
      </c>
      <c r="G21" s="734">
        <v>2.65</v>
      </c>
      <c r="H21" s="1037">
        <f t="shared" si="0"/>
        <v>254313.15</v>
      </c>
      <c r="I21" s="1057"/>
      <c r="J21" s="1058"/>
      <c r="K21" s="1039" t="s">
        <v>375</v>
      </c>
      <c r="L21" s="353"/>
      <c r="M21" s="672"/>
      <c r="R21" s="374"/>
      <c r="S21" s="374"/>
      <c r="T21" s="374"/>
      <c r="U21" s="374"/>
      <c r="V21" s="374"/>
    </row>
    <row r="22" spans="2:22" s="370" customFormat="1" ht="21" customHeight="1" x14ac:dyDescent="0.25">
      <c r="B22" s="1059" t="s">
        <v>401</v>
      </c>
      <c r="C22" s="1060"/>
      <c r="D22" s="1060"/>
      <c r="E22" s="646"/>
      <c r="F22" s="1061"/>
      <c r="G22" s="1062"/>
      <c r="H22" s="1037"/>
      <c r="I22" s="1063"/>
      <c r="J22" s="1064"/>
      <c r="K22" s="1065"/>
      <c r="L22" s="353"/>
      <c r="M22" s="672"/>
      <c r="R22" s="374"/>
      <c r="S22" s="374"/>
      <c r="T22" s="374"/>
      <c r="U22" s="374"/>
      <c r="V22" s="374"/>
    </row>
    <row r="23" spans="2:22" s="370" customFormat="1" ht="21" customHeight="1" x14ac:dyDescent="0.25">
      <c r="B23" s="559" t="s">
        <v>580</v>
      </c>
      <c r="C23" s="724">
        <v>44834</v>
      </c>
      <c r="D23" s="724">
        <v>45930</v>
      </c>
      <c r="E23" s="726" t="s">
        <v>477</v>
      </c>
      <c r="F23" s="857"/>
      <c r="G23" s="734">
        <v>3.75</v>
      </c>
      <c r="H23" s="1037"/>
      <c r="I23" s="1057"/>
      <c r="J23" s="1058"/>
      <c r="K23" s="1039" t="s">
        <v>375</v>
      </c>
      <c r="L23" s="353"/>
      <c r="M23" s="672"/>
      <c r="R23" s="374"/>
      <c r="S23" s="374"/>
      <c r="T23" s="374"/>
      <c r="U23" s="374"/>
      <c r="V23" s="374"/>
    </row>
    <row r="24" spans="2:22" s="370" customFormat="1" ht="21" customHeight="1" x14ac:dyDescent="0.25">
      <c r="B24" s="1066"/>
      <c r="C24" s="1060"/>
      <c r="D24" s="1060"/>
      <c r="E24" s="646"/>
      <c r="F24" s="1067"/>
      <c r="G24" s="1062"/>
      <c r="H24" s="1037"/>
      <c r="I24" s="1063"/>
      <c r="J24" s="1064"/>
      <c r="K24" s="1065"/>
      <c r="L24" s="353"/>
      <c r="M24" s="672"/>
      <c r="R24" s="374"/>
      <c r="S24" s="374"/>
      <c r="T24" s="374"/>
      <c r="U24" s="374"/>
      <c r="V24" s="374"/>
    </row>
    <row r="25" spans="2:22" s="520" customFormat="1" ht="21" customHeight="1" x14ac:dyDescent="0.25">
      <c r="B25" s="1068" t="s">
        <v>504</v>
      </c>
      <c r="C25" s="422"/>
      <c r="D25" s="422"/>
      <c r="E25" s="407"/>
      <c r="F25" s="601"/>
      <c r="G25" s="1069"/>
      <c r="H25" s="1037"/>
      <c r="I25" s="1070"/>
      <c r="J25" s="1071"/>
      <c r="K25" s="925"/>
      <c r="L25" s="365"/>
      <c r="M25" s="337"/>
      <c r="R25" s="524"/>
      <c r="S25" s="524"/>
      <c r="T25" s="524"/>
      <c r="U25" s="524"/>
      <c r="V25" s="524"/>
    </row>
    <row r="26" spans="2:22" s="370" customFormat="1" ht="21" customHeight="1" x14ac:dyDescent="0.25">
      <c r="B26" s="688" t="s">
        <v>505</v>
      </c>
      <c r="C26" s="689"/>
      <c r="D26" s="689"/>
      <c r="E26" s="689"/>
      <c r="F26" s="621"/>
      <c r="G26" s="690"/>
      <c r="H26" s="1037"/>
      <c r="I26" s="1072"/>
      <c r="J26" s="535"/>
      <c r="K26" s="925"/>
      <c r="L26" s="365"/>
      <c r="M26" s="337"/>
      <c r="R26" s="374"/>
      <c r="S26" s="374"/>
      <c r="T26" s="374"/>
      <c r="U26" s="374"/>
      <c r="V26" s="374"/>
    </row>
    <row r="27" spans="2:22" s="365" customFormat="1" ht="21" customHeight="1" x14ac:dyDescent="0.25">
      <c r="B27" s="562">
        <v>110000083056</v>
      </c>
      <c r="C27" s="726">
        <v>44831</v>
      </c>
      <c r="D27" s="856">
        <v>45103</v>
      </c>
      <c r="E27" s="726" t="s">
        <v>577</v>
      </c>
      <c r="F27" s="725">
        <v>573969.68000000005</v>
      </c>
      <c r="G27" s="564">
        <v>2.65</v>
      </c>
      <c r="H27" s="1037">
        <f t="shared" si="0"/>
        <v>15210.2</v>
      </c>
      <c r="I27" s="863"/>
      <c r="J27" s="617"/>
      <c r="K27" s="1039" t="s">
        <v>375</v>
      </c>
      <c r="R27" s="353"/>
      <c r="S27" s="353"/>
      <c r="T27" s="353"/>
      <c r="U27" s="353"/>
      <c r="V27" s="353"/>
    </row>
    <row r="28" spans="2:22" s="365" customFormat="1" ht="21" customHeight="1" x14ac:dyDescent="0.25">
      <c r="B28" s="562">
        <v>110000083047</v>
      </c>
      <c r="C28" s="726">
        <v>44831</v>
      </c>
      <c r="D28" s="856">
        <v>45103</v>
      </c>
      <c r="E28" s="726" t="s">
        <v>577</v>
      </c>
      <c r="F28" s="725">
        <v>93106.66</v>
      </c>
      <c r="G28" s="564">
        <v>2.65</v>
      </c>
      <c r="H28" s="1037">
        <f t="shared" si="0"/>
        <v>2467.33</v>
      </c>
      <c r="I28" s="863"/>
      <c r="J28" s="617"/>
      <c r="K28" s="1039" t="s">
        <v>375</v>
      </c>
      <c r="R28" s="353"/>
      <c r="S28" s="353"/>
      <c r="T28" s="353"/>
      <c r="U28" s="353"/>
      <c r="V28" s="353"/>
    </row>
    <row r="29" spans="2:22" s="370" customFormat="1" ht="21" customHeight="1" x14ac:dyDescent="0.25">
      <c r="B29" s="691" t="s">
        <v>506</v>
      </c>
      <c r="C29" s="692"/>
      <c r="D29" s="692"/>
      <c r="E29" s="692"/>
      <c r="F29" s="486"/>
      <c r="G29" s="693"/>
      <c r="H29" s="1037"/>
      <c r="I29" s="483"/>
      <c r="J29" s="482"/>
      <c r="K29" s="925"/>
      <c r="L29" s="365"/>
      <c r="M29" s="337"/>
      <c r="R29" s="374"/>
      <c r="S29" s="374"/>
      <c r="T29" s="374"/>
      <c r="U29" s="374"/>
      <c r="V29" s="374"/>
    </row>
    <row r="30" spans="2:22" s="365" customFormat="1" ht="21" customHeight="1" x14ac:dyDescent="0.25">
      <c r="B30" s="562">
        <v>110000083074</v>
      </c>
      <c r="C30" s="726">
        <v>44831</v>
      </c>
      <c r="D30" s="856">
        <v>45103</v>
      </c>
      <c r="E30" s="726" t="s">
        <v>577</v>
      </c>
      <c r="F30" s="725">
        <v>3119609.91</v>
      </c>
      <c r="G30" s="564">
        <v>2.65</v>
      </c>
      <c r="H30" s="1037">
        <f t="shared" si="0"/>
        <v>82669.66</v>
      </c>
      <c r="I30" s="863"/>
      <c r="J30" s="617"/>
      <c r="K30" s="1021" t="s">
        <v>375</v>
      </c>
      <c r="R30" s="353"/>
      <c r="S30" s="353"/>
      <c r="T30" s="353"/>
      <c r="U30" s="353"/>
      <c r="V30" s="353"/>
    </row>
    <row r="31" spans="2:22" s="365" customFormat="1" ht="21" customHeight="1" x14ac:dyDescent="0.25">
      <c r="B31" s="562">
        <v>110000083065</v>
      </c>
      <c r="C31" s="726">
        <v>44831</v>
      </c>
      <c r="D31" s="856">
        <v>45103</v>
      </c>
      <c r="E31" s="726" t="s">
        <v>577</v>
      </c>
      <c r="F31" s="725">
        <v>1636784.18</v>
      </c>
      <c r="G31" s="564">
        <v>2.65</v>
      </c>
      <c r="H31" s="1037">
        <f t="shared" si="0"/>
        <v>43374.78</v>
      </c>
      <c r="I31" s="863"/>
      <c r="J31" s="617"/>
      <c r="K31" s="1021" t="s">
        <v>375</v>
      </c>
      <c r="R31" s="353"/>
      <c r="S31" s="353"/>
      <c r="T31" s="353"/>
      <c r="U31" s="353"/>
      <c r="V31" s="353"/>
    </row>
    <row r="32" spans="2:22" s="370" customFormat="1" ht="21" customHeight="1" x14ac:dyDescent="0.25">
      <c r="B32" s="691" t="s">
        <v>507</v>
      </c>
      <c r="C32" s="692"/>
      <c r="D32" s="692"/>
      <c r="E32" s="692"/>
      <c r="F32" s="486"/>
      <c r="G32" s="693"/>
      <c r="H32" s="1037"/>
      <c r="I32" s="483"/>
      <c r="J32" s="482"/>
      <c r="K32" s="925"/>
      <c r="L32" s="365"/>
      <c r="M32" s="337"/>
      <c r="R32" s="374"/>
      <c r="S32" s="374"/>
      <c r="T32" s="374"/>
      <c r="U32" s="374"/>
      <c r="V32" s="374"/>
    </row>
    <row r="33" spans="1:22" s="365" customFormat="1" ht="21" customHeight="1" x14ac:dyDescent="0.25">
      <c r="B33" s="614">
        <v>110000083083</v>
      </c>
      <c r="C33" s="726">
        <v>44831</v>
      </c>
      <c r="D33" s="856">
        <v>45103</v>
      </c>
      <c r="E33" s="726" t="s">
        <v>577</v>
      </c>
      <c r="F33" s="725">
        <v>22576.35</v>
      </c>
      <c r="G33" s="564">
        <v>2.65</v>
      </c>
      <c r="H33" s="1037">
        <f t="shared" si="0"/>
        <v>598.27</v>
      </c>
      <c r="I33" s="863"/>
      <c r="J33" s="617"/>
      <c r="K33" s="1021" t="s">
        <v>375</v>
      </c>
      <c r="R33" s="353"/>
      <c r="S33" s="353"/>
      <c r="T33" s="353"/>
      <c r="U33" s="353"/>
      <c r="V33" s="353"/>
    </row>
    <row r="34" spans="1:22" s="365" customFormat="1" ht="21" customHeight="1" x14ac:dyDescent="0.25">
      <c r="B34" s="717" t="s">
        <v>508</v>
      </c>
      <c r="C34" s="694"/>
      <c r="D34" s="694"/>
      <c r="E34" s="695"/>
      <c r="F34" s="1073"/>
      <c r="G34" s="697"/>
      <c r="H34" s="1037"/>
      <c r="I34" s="1074"/>
      <c r="J34" s="1075"/>
      <c r="K34" s="925"/>
      <c r="R34" s="353"/>
      <c r="S34" s="353"/>
      <c r="T34" s="353"/>
      <c r="U34" s="353"/>
      <c r="V34" s="353"/>
    </row>
    <row r="35" spans="1:22" s="370" customFormat="1" ht="21" customHeight="1" x14ac:dyDescent="0.25">
      <c r="B35" s="698" t="s">
        <v>509</v>
      </c>
      <c r="C35" s="699"/>
      <c r="D35" s="709"/>
      <c r="E35" s="695"/>
      <c r="F35" s="696"/>
      <c r="G35" s="412"/>
      <c r="H35" s="1037"/>
      <c r="I35" s="483"/>
      <c r="J35" s="482"/>
      <c r="K35" s="925"/>
      <c r="L35" s="365"/>
      <c r="M35" s="671"/>
      <c r="R35" s="374"/>
      <c r="S35" s="374"/>
      <c r="T35" s="374"/>
      <c r="U35" s="374"/>
      <c r="V35" s="374"/>
    </row>
    <row r="36" spans="1:22" s="370" customFormat="1" ht="21" customHeight="1" x14ac:dyDescent="0.25">
      <c r="B36" s="684" t="s">
        <v>372</v>
      </c>
      <c r="C36" s="699"/>
      <c r="D36" s="709"/>
      <c r="E36" s="695"/>
      <c r="F36" s="696"/>
      <c r="G36" s="412"/>
      <c r="H36" s="1037"/>
      <c r="I36" s="483"/>
      <c r="J36" s="482"/>
      <c r="K36" s="925"/>
      <c r="L36" s="365"/>
      <c r="M36" s="671"/>
      <c r="R36" s="374"/>
      <c r="S36" s="374"/>
      <c r="T36" s="374"/>
      <c r="U36" s="374"/>
      <c r="V36" s="374"/>
    </row>
    <row r="37" spans="1:22" s="365" customFormat="1" ht="21" customHeight="1" x14ac:dyDescent="0.25">
      <c r="B37" s="562">
        <v>110000083092</v>
      </c>
      <c r="C37" s="726">
        <v>44831</v>
      </c>
      <c r="D37" s="856">
        <v>45103</v>
      </c>
      <c r="E37" s="724" t="s">
        <v>577</v>
      </c>
      <c r="F37" s="857">
        <v>1064439.6299999999</v>
      </c>
      <c r="G37" s="561">
        <v>2.65</v>
      </c>
      <c r="H37" s="1037">
        <f t="shared" si="0"/>
        <v>28207.65</v>
      </c>
      <c r="I37" s="858"/>
      <c r="J37" s="804"/>
      <c r="K37" s="1039" t="s">
        <v>375</v>
      </c>
      <c r="L37" s="1076" t="s">
        <v>581</v>
      </c>
      <c r="R37" s="353"/>
      <c r="S37" s="353"/>
      <c r="T37" s="353"/>
      <c r="U37" s="353"/>
      <c r="V37" s="353"/>
    </row>
    <row r="38" spans="1:22" s="365" customFormat="1" ht="21" customHeight="1" x14ac:dyDescent="0.25">
      <c r="B38" s="562">
        <v>110000083109</v>
      </c>
      <c r="C38" s="820">
        <v>44831</v>
      </c>
      <c r="D38" s="856">
        <v>45103</v>
      </c>
      <c r="E38" s="724" t="s">
        <v>577</v>
      </c>
      <c r="F38" s="725">
        <v>3870391.05</v>
      </c>
      <c r="G38" s="564">
        <v>2.65</v>
      </c>
      <c r="H38" s="1037">
        <f t="shared" si="0"/>
        <v>102565.36</v>
      </c>
      <c r="I38" s="863"/>
      <c r="J38" s="617"/>
      <c r="K38" s="1039" t="s">
        <v>375</v>
      </c>
      <c r="R38" s="353"/>
      <c r="S38" s="353"/>
      <c r="T38" s="353"/>
      <c r="U38" s="353"/>
      <c r="V38" s="353"/>
    </row>
    <row r="39" spans="1:22" s="365" customFormat="1" ht="21" customHeight="1" x14ac:dyDescent="0.25">
      <c r="B39" s="965">
        <v>110000082200</v>
      </c>
      <c r="C39" s="823">
        <v>44760</v>
      </c>
      <c r="D39" s="823">
        <v>44851</v>
      </c>
      <c r="E39" s="966" t="s">
        <v>557</v>
      </c>
      <c r="F39" s="825">
        <v>16938.240000000002</v>
      </c>
      <c r="G39" s="826">
        <v>0.75</v>
      </c>
      <c r="H39" s="1037">
        <f t="shared" si="0"/>
        <v>127.04</v>
      </c>
      <c r="I39" s="828"/>
      <c r="J39" s="827"/>
      <c r="K39" s="1045"/>
      <c r="R39" s="353"/>
      <c r="S39" s="353"/>
      <c r="T39" s="353"/>
      <c r="U39" s="353"/>
      <c r="V39" s="353"/>
    </row>
    <row r="40" spans="1:22" s="365" customFormat="1" ht="21" customHeight="1" x14ac:dyDescent="0.25">
      <c r="B40" s="965">
        <v>110000082193</v>
      </c>
      <c r="C40" s="823">
        <v>44760</v>
      </c>
      <c r="D40" s="823">
        <v>44851</v>
      </c>
      <c r="E40" s="966" t="s">
        <v>557</v>
      </c>
      <c r="F40" s="825">
        <v>58944.24</v>
      </c>
      <c r="G40" s="1077">
        <v>0.75</v>
      </c>
      <c r="H40" s="1037">
        <f t="shared" si="0"/>
        <v>442.08</v>
      </c>
      <c r="I40" s="968"/>
      <c r="J40" s="969"/>
      <c r="K40" s="1045" t="s">
        <v>375</v>
      </c>
      <c r="R40" s="353"/>
      <c r="S40" s="353"/>
      <c r="T40" s="353"/>
      <c r="U40" s="353"/>
      <c r="V40" s="353"/>
    </row>
    <row r="41" spans="1:22" s="370" customFormat="1" ht="21" customHeight="1" x14ac:dyDescent="0.25">
      <c r="B41" s="1689" t="s">
        <v>511</v>
      </c>
      <c r="C41" s="1690"/>
      <c r="D41" s="1690"/>
      <c r="E41" s="1690"/>
      <c r="F41" s="700"/>
      <c r="G41" s="693"/>
      <c r="H41" s="1037"/>
      <c r="I41" s="483"/>
      <c r="J41" s="482"/>
      <c r="K41" s="925"/>
      <c r="L41" s="619"/>
      <c r="M41" s="337"/>
      <c r="R41" s="374"/>
      <c r="S41" s="374"/>
      <c r="T41" s="374"/>
      <c r="U41" s="374"/>
      <c r="V41" s="374"/>
    </row>
    <row r="42" spans="1:22" s="370" customFormat="1" ht="21" customHeight="1" x14ac:dyDescent="0.25">
      <c r="B42" s="684" t="s">
        <v>372</v>
      </c>
      <c r="C42" s="699"/>
      <c r="D42" s="709"/>
      <c r="E42" s="695"/>
      <c r="F42" s="696"/>
      <c r="G42" s="412"/>
      <c r="H42" s="1037"/>
      <c r="I42" s="483"/>
      <c r="J42" s="482"/>
      <c r="K42" s="925"/>
      <c r="L42" s="365"/>
      <c r="M42" s="671"/>
      <c r="R42" s="374"/>
      <c r="S42" s="374"/>
      <c r="T42" s="374"/>
      <c r="U42" s="374"/>
      <c r="V42" s="374"/>
    </row>
    <row r="43" spans="1:22" s="392" customFormat="1" ht="21" customHeight="1" x14ac:dyDescent="0.25">
      <c r="B43" s="562">
        <v>110000083118</v>
      </c>
      <c r="C43" s="651">
        <v>44831</v>
      </c>
      <c r="D43" s="856">
        <v>45103</v>
      </c>
      <c r="E43" s="616" t="s">
        <v>577</v>
      </c>
      <c r="F43" s="566">
        <v>8261248.6799999997</v>
      </c>
      <c r="G43" s="564">
        <v>2.65</v>
      </c>
      <c r="H43" s="1037">
        <f t="shared" si="0"/>
        <v>218923.09</v>
      </c>
      <c r="I43" s="863"/>
      <c r="J43" s="617"/>
      <c r="K43" s="1039" t="s">
        <v>375</v>
      </c>
      <c r="R43" s="393"/>
      <c r="S43" s="393"/>
      <c r="T43" s="393"/>
      <c r="U43" s="393"/>
      <c r="V43" s="393"/>
    </row>
    <row r="44" spans="1:22" s="392" customFormat="1" ht="21" customHeight="1" x14ac:dyDescent="0.25">
      <c r="B44" s="562">
        <v>110000083127</v>
      </c>
      <c r="C44" s="651">
        <v>44831</v>
      </c>
      <c r="D44" s="856">
        <v>45103</v>
      </c>
      <c r="E44" s="616" t="s">
        <v>577</v>
      </c>
      <c r="F44" s="566">
        <v>1858681.25</v>
      </c>
      <c r="G44" s="564">
        <v>2.65</v>
      </c>
      <c r="H44" s="1037">
        <f t="shared" si="0"/>
        <v>49255.05</v>
      </c>
      <c r="I44" s="863"/>
      <c r="J44" s="617"/>
      <c r="K44" s="1039" t="s">
        <v>375</v>
      </c>
      <c r="R44" s="393"/>
      <c r="S44" s="393"/>
      <c r="T44" s="393"/>
      <c r="U44" s="393"/>
      <c r="V44" s="393"/>
    </row>
    <row r="45" spans="1:22" s="392" customFormat="1" ht="21" customHeight="1" x14ac:dyDescent="0.25">
      <c r="B45" s="562">
        <v>110000083136</v>
      </c>
      <c r="C45" s="651">
        <v>44831</v>
      </c>
      <c r="D45" s="856">
        <v>45103</v>
      </c>
      <c r="E45" s="616" t="s">
        <v>577</v>
      </c>
      <c r="F45" s="566">
        <v>217212.78</v>
      </c>
      <c r="G45" s="564">
        <v>2.65</v>
      </c>
      <c r="H45" s="1037">
        <f t="shared" si="0"/>
        <v>5756.14</v>
      </c>
      <c r="I45" s="863"/>
      <c r="J45" s="617"/>
      <c r="K45" s="1039" t="s">
        <v>375</v>
      </c>
      <c r="R45" s="393"/>
      <c r="S45" s="393"/>
      <c r="T45" s="393"/>
      <c r="U45" s="393"/>
      <c r="V45" s="393"/>
    </row>
    <row r="46" spans="1:22" s="365" customFormat="1" ht="25.5" customHeight="1" x14ac:dyDescent="0.25">
      <c r="B46" s="1689" t="s">
        <v>512</v>
      </c>
      <c r="C46" s="1690"/>
      <c r="D46" s="1690"/>
      <c r="E46" s="1690"/>
      <c r="F46" s="700"/>
      <c r="G46" s="701"/>
      <c r="H46" s="1037"/>
      <c r="I46" s="483"/>
      <c r="J46" s="482"/>
      <c r="K46" s="925"/>
      <c r="M46" s="337"/>
      <c r="R46" s="353"/>
      <c r="S46" s="353"/>
      <c r="T46" s="353"/>
      <c r="U46" s="353"/>
      <c r="V46" s="353"/>
    </row>
    <row r="47" spans="1:22" s="370" customFormat="1" ht="21" customHeight="1" x14ac:dyDescent="0.25">
      <c r="B47" s="684" t="s">
        <v>372</v>
      </c>
      <c r="C47" s="699"/>
      <c r="D47" s="709"/>
      <c r="E47" s="695"/>
      <c r="F47" s="696"/>
      <c r="G47" s="412"/>
      <c r="H47" s="1037"/>
      <c r="I47" s="483"/>
      <c r="J47" s="482"/>
      <c r="K47" s="925"/>
      <c r="L47" s="365"/>
      <c r="M47" s="671"/>
      <c r="R47" s="374"/>
      <c r="S47" s="374"/>
      <c r="T47" s="374"/>
      <c r="U47" s="374"/>
      <c r="V47" s="374"/>
    </row>
    <row r="48" spans="1:22" s="392" customFormat="1" ht="21" customHeight="1" x14ac:dyDescent="0.25">
      <c r="A48" s="676"/>
      <c r="B48" s="562">
        <v>110000083145</v>
      </c>
      <c r="C48" s="726">
        <v>44831</v>
      </c>
      <c r="D48" s="856">
        <v>45103</v>
      </c>
      <c r="E48" s="726" t="s">
        <v>577</v>
      </c>
      <c r="F48" s="725">
        <v>323171.62</v>
      </c>
      <c r="G48" s="564">
        <v>2.65</v>
      </c>
      <c r="H48" s="1037">
        <f t="shared" si="0"/>
        <v>8564.0499999999993</v>
      </c>
      <c r="I48" s="863"/>
      <c r="J48" s="617"/>
      <c r="K48" s="1039" t="s">
        <v>375</v>
      </c>
      <c r="R48" s="393"/>
      <c r="S48" s="393"/>
      <c r="T48" s="393"/>
      <c r="U48" s="393"/>
      <c r="V48" s="393"/>
    </row>
    <row r="49" spans="1:22" s="392" customFormat="1" ht="21" customHeight="1" x14ac:dyDescent="0.25">
      <c r="A49" s="676"/>
      <c r="B49" s="562">
        <v>110000083154</v>
      </c>
      <c r="C49" s="820">
        <v>44831</v>
      </c>
      <c r="D49" s="856">
        <v>45103</v>
      </c>
      <c r="E49" s="726" t="s">
        <v>577</v>
      </c>
      <c r="F49" s="725">
        <v>538945.37</v>
      </c>
      <c r="G49" s="564">
        <v>2.65</v>
      </c>
      <c r="H49" s="1037">
        <f t="shared" si="0"/>
        <v>14282.05</v>
      </c>
      <c r="I49" s="863"/>
      <c r="J49" s="617"/>
      <c r="K49" s="1039" t="s">
        <v>375</v>
      </c>
      <c r="R49" s="393"/>
      <c r="S49" s="393"/>
      <c r="T49" s="393"/>
      <c r="U49" s="393"/>
      <c r="V49" s="393"/>
    </row>
    <row r="50" spans="1:22" s="392" customFormat="1" ht="21" customHeight="1" x14ac:dyDescent="0.25">
      <c r="A50" s="676"/>
      <c r="B50" s="965">
        <v>110000082219</v>
      </c>
      <c r="C50" s="823">
        <v>44760</v>
      </c>
      <c r="D50" s="823">
        <v>44851</v>
      </c>
      <c r="E50" s="824" t="s">
        <v>557</v>
      </c>
      <c r="F50" s="825">
        <v>25270.11</v>
      </c>
      <c r="G50" s="1077">
        <v>0.75</v>
      </c>
      <c r="H50" s="1037">
        <f t="shared" si="0"/>
        <v>189.53</v>
      </c>
      <c r="I50" s="968"/>
      <c r="J50" s="969"/>
      <c r="K50" s="1045" t="s">
        <v>375</v>
      </c>
      <c r="R50" s="393"/>
      <c r="S50" s="393"/>
      <c r="T50" s="393"/>
      <c r="U50" s="393"/>
      <c r="V50" s="393"/>
    </row>
    <row r="51" spans="1:22" s="370" customFormat="1" ht="24" customHeight="1" x14ac:dyDescent="0.25">
      <c r="A51" s="365"/>
      <c r="B51" s="715" t="s">
        <v>513</v>
      </c>
      <c r="C51" s="509"/>
      <c r="D51" s="509"/>
      <c r="E51" s="702"/>
      <c r="F51" s="486"/>
      <c r="G51" s="481"/>
      <c r="H51" s="1037"/>
      <c r="I51" s="483"/>
      <c r="J51" s="482"/>
      <c r="K51" s="925"/>
      <c r="L51" s="365"/>
      <c r="M51" s="413"/>
      <c r="N51" s="374"/>
      <c r="R51" s="374"/>
      <c r="S51" s="374"/>
      <c r="T51" s="374"/>
      <c r="U51" s="374"/>
      <c r="V51" s="374"/>
    </row>
    <row r="52" spans="1:22" s="370" customFormat="1" ht="21" customHeight="1" x14ac:dyDescent="0.25">
      <c r="B52" s="698" t="s">
        <v>372</v>
      </c>
      <c r="C52" s="716"/>
      <c r="D52" s="716"/>
      <c r="E52" s="702"/>
      <c r="F52" s="486"/>
      <c r="G52" s="693"/>
      <c r="H52" s="1037"/>
      <c r="I52" s="483"/>
      <c r="J52" s="482"/>
      <c r="K52" s="925"/>
      <c r="L52" s="365"/>
      <c r="M52" s="671"/>
      <c r="R52" s="374"/>
      <c r="S52" s="374"/>
      <c r="T52" s="374"/>
      <c r="U52" s="374"/>
      <c r="V52" s="374"/>
    </row>
    <row r="53" spans="1:22" s="1081" customFormat="1" ht="24" customHeight="1" x14ac:dyDescent="0.25">
      <c r="A53" s="971"/>
      <c r="B53" s="1078">
        <v>110000083163</v>
      </c>
      <c r="C53" s="820">
        <v>44831</v>
      </c>
      <c r="D53" s="820">
        <v>45103</v>
      </c>
      <c r="E53" s="726" t="s">
        <v>577</v>
      </c>
      <c r="F53" s="725">
        <v>1280495</v>
      </c>
      <c r="G53" s="564">
        <v>2.65</v>
      </c>
      <c r="H53" s="1037">
        <f t="shared" si="0"/>
        <v>33933.120000000003</v>
      </c>
      <c r="I53" s="863"/>
      <c r="J53" s="617"/>
      <c r="K53" s="562" t="s">
        <v>375</v>
      </c>
      <c r="L53" s="971"/>
      <c r="M53" s="1079"/>
      <c r="N53" s="1080"/>
      <c r="R53" s="1080"/>
      <c r="S53" s="1080"/>
      <c r="T53" s="1080"/>
      <c r="U53" s="1080"/>
      <c r="V53" s="1080"/>
    </row>
    <row r="54" spans="1:22" s="370" customFormat="1" ht="24" customHeight="1" x14ac:dyDescent="0.25">
      <c r="A54" s="365"/>
      <c r="B54" s="965">
        <v>110000082200</v>
      </c>
      <c r="C54" s="823">
        <v>44760</v>
      </c>
      <c r="D54" s="823">
        <v>44851</v>
      </c>
      <c r="E54" s="966" t="s">
        <v>557</v>
      </c>
      <c r="F54" s="825">
        <v>6226.3</v>
      </c>
      <c r="G54" s="1077">
        <v>0.75</v>
      </c>
      <c r="H54" s="1037">
        <f t="shared" si="0"/>
        <v>46.7</v>
      </c>
      <c r="I54" s="968"/>
      <c r="J54" s="969"/>
      <c r="K54" s="965"/>
      <c r="L54" s="365"/>
      <c r="M54" s="413"/>
      <c r="N54" s="374"/>
      <c r="R54" s="374"/>
      <c r="S54" s="374"/>
      <c r="T54" s="374"/>
      <c r="U54" s="374"/>
      <c r="V54" s="374"/>
    </row>
    <row r="55" spans="1:22" s="937" customFormat="1" ht="21" customHeight="1" x14ac:dyDescent="0.3">
      <c r="B55" s="1082" t="s">
        <v>514</v>
      </c>
      <c r="C55" s="1083"/>
      <c r="D55" s="1083"/>
      <c r="E55" s="1083"/>
      <c r="F55" s="1083">
        <f>SUM(F13:F54)</f>
        <v>1425501340</v>
      </c>
      <c r="G55" s="1084"/>
      <c r="H55" s="992"/>
      <c r="I55" s="993"/>
      <c r="J55" s="992"/>
      <c r="K55" s="1085"/>
      <c r="L55" s="943"/>
      <c r="M55" s="943"/>
      <c r="R55" s="944"/>
      <c r="S55" s="944"/>
      <c r="T55" s="944"/>
      <c r="U55" s="944"/>
      <c r="V55" s="944"/>
    </row>
    <row r="56" spans="1:22" s="937" customFormat="1" ht="21" customHeight="1" x14ac:dyDescent="0.3">
      <c r="B56" s="994">
        <f>'[10]VENC. '!$B$176</f>
        <v>44839</v>
      </c>
      <c r="C56" s="995"/>
      <c r="D56" s="995"/>
      <c r="E56" s="995"/>
      <c r="F56" s="995"/>
      <c r="G56" s="996"/>
      <c r="H56" s="997"/>
      <c r="I56" s="998"/>
      <c r="J56" s="997"/>
      <c r="K56" s="985"/>
      <c r="L56" s="839"/>
      <c r="M56" s="891"/>
      <c r="R56" s="944"/>
      <c r="S56" s="944"/>
      <c r="T56" s="944"/>
      <c r="U56" s="944"/>
      <c r="V56" s="944"/>
    </row>
    <row r="57" spans="1:22" s="937" customFormat="1" ht="21" customHeight="1" x14ac:dyDescent="0.3">
      <c r="B57" s="1706" t="str">
        <f>'[10]VENC. '!B$177</f>
        <v>Preparado por:    _______________________________________</v>
      </c>
      <c r="C57" s="1704"/>
      <c r="D57" s="1704" t="str">
        <f>'[10]VENC. '!D$177</f>
        <v>Revisado por:      ___________________________________</v>
      </c>
      <c r="E57" s="1704"/>
      <c r="F57" s="1704"/>
      <c r="G57" s="1705"/>
      <c r="H57" s="952"/>
      <c r="I57" s="953"/>
      <c r="J57" s="952"/>
      <c r="K57" s="985"/>
      <c r="L57" s="839"/>
      <c r="M57" s="891"/>
      <c r="R57" s="944"/>
      <c r="S57" s="944"/>
      <c r="T57" s="944"/>
      <c r="U57" s="944"/>
      <c r="V57" s="944"/>
    </row>
    <row r="58" spans="1:22" s="937" customFormat="1" ht="21" customHeight="1" x14ac:dyDescent="0.3">
      <c r="B58" s="1706" t="str">
        <f>'[10]VENC. '!B$178</f>
        <v>Liz Mayta</v>
      </c>
      <c r="C58" s="1704"/>
      <c r="D58" s="1704" t="str">
        <f>'[10]VENC. '!D$178</f>
        <v xml:space="preserve"> Julio Pérez</v>
      </c>
      <c r="E58" s="1704"/>
      <c r="F58" s="1704"/>
      <c r="G58" s="1705"/>
      <c r="H58" s="952"/>
      <c r="I58" s="953"/>
      <c r="J58" s="952"/>
      <c r="K58" s="985"/>
      <c r="L58" s="839"/>
      <c r="M58" s="891"/>
      <c r="R58" s="944"/>
      <c r="S58" s="944"/>
      <c r="T58" s="944"/>
      <c r="U58" s="944"/>
      <c r="V58" s="944"/>
    </row>
    <row r="59" spans="1:22" s="937" customFormat="1" ht="21" customHeight="1" x14ac:dyDescent="0.3">
      <c r="B59" s="1699" t="str">
        <f>'[10]VENC. '!B$179</f>
        <v>Analista de Presupuesto</v>
      </c>
      <c r="C59" s="1700"/>
      <c r="D59" s="1700" t="str">
        <f>'[10]VENC. '!D$179</f>
        <v>Jefe Encargado de la Sección de Análisis y Programación Financiera</v>
      </c>
      <c r="E59" s="1700"/>
      <c r="F59" s="1700"/>
      <c r="G59" s="1701"/>
      <c r="H59" s="952"/>
      <c r="I59" s="953"/>
      <c r="J59" s="952"/>
      <c r="K59" s="985"/>
      <c r="L59" s="839"/>
      <c r="M59" s="891"/>
      <c r="R59" s="944"/>
      <c r="S59" s="944"/>
      <c r="T59" s="944"/>
      <c r="U59" s="944"/>
      <c r="V59" s="944"/>
    </row>
    <row r="60" spans="1:22" ht="13.5" customHeight="1" x14ac:dyDescent="0.35">
      <c r="B60" s="1086" t="s">
        <v>372</v>
      </c>
      <c r="C60" s="1087"/>
      <c r="D60" s="1088"/>
      <c r="E60" s="1089"/>
      <c r="F60" s="1090"/>
      <c r="G60" s="1091"/>
      <c r="K60" s="353"/>
    </row>
    <row r="61" spans="1:22" ht="13.5" customHeight="1" x14ac:dyDescent="0.35">
      <c r="B61" s="730">
        <v>110000083216</v>
      </c>
      <c r="C61" s="726">
        <v>44831</v>
      </c>
      <c r="D61" s="726">
        <v>45103</v>
      </c>
      <c r="E61" s="726" t="s">
        <v>577</v>
      </c>
      <c r="F61" s="725">
        <v>5799100</v>
      </c>
      <c r="G61" s="721">
        <v>2.65</v>
      </c>
      <c r="H61" s="617">
        <f>F61*G61/100</f>
        <v>153676.15</v>
      </c>
      <c r="I61" s="863"/>
      <c r="J61" s="617"/>
      <c r="K61" s="1092" t="s">
        <v>582</v>
      </c>
    </row>
    <row r="62" spans="1:22" ht="13.5" customHeight="1" x14ac:dyDescent="0.35">
      <c r="B62" s="730">
        <v>110000083225</v>
      </c>
      <c r="C62" s="724">
        <v>44831</v>
      </c>
      <c r="D62" s="724">
        <v>45103</v>
      </c>
      <c r="E62" s="724" t="s">
        <v>577</v>
      </c>
      <c r="F62" s="725">
        <v>57993412.240000002</v>
      </c>
      <c r="G62" s="721">
        <v>2.65</v>
      </c>
      <c r="H62" s="617">
        <f t="shared" ref="H62:H64" si="1">F62*G62/100</f>
        <v>1536825.42</v>
      </c>
      <c r="I62" s="863"/>
      <c r="J62" s="617"/>
      <c r="K62" s="1092" t="s">
        <v>582</v>
      </c>
    </row>
    <row r="63" spans="1:22" ht="13.5" customHeight="1" x14ac:dyDescent="0.35">
      <c r="B63" s="1093">
        <v>110000082371</v>
      </c>
      <c r="C63" s="966">
        <v>44770</v>
      </c>
      <c r="D63" s="966">
        <v>44860</v>
      </c>
      <c r="E63" s="966" t="s">
        <v>556</v>
      </c>
      <c r="F63" s="825">
        <v>16000000</v>
      </c>
      <c r="G63" s="967">
        <v>0.75</v>
      </c>
      <c r="H63" s="617">
        <f t="shared" si="1"/>
        <v>120000</v>
      </c>
      <c r="I63" s="968"/>
      <c r="J63" s="969"/>
      <c r="K63" s="399" t="s">
        <v>582</v>
      </c>
    </row>
    <row r="64" spans="1:22" ht="13.5" customHeight="1" x14ac:dyDescent="0.35">
      <c r="B64" s="1093">
        <v>110000082380</v>
      </c>
      <c r="C64" s="966">
        <v>44770</v>
      </c>
      <c r="D64" s="966">
        <v>44860</v>
      </c>
      <c r="E64" s="966" t="s">
        <v>556</v>
      </c>
      <c r="F64" s="825">
        <v>3200000</v>
      </c>
      <c r="G64" s="967">
        <v>0.75</v>
      </c>
      <c r="H64" s="617">
        <f t="shared" si="1"/>
        <v>24000</v>
      </c>
      <c r="I64" s="968"/>
      <c r="J64" s="969"/>
      <c r="K64" s="399" t="s">
        <v>582</v>
      </c>
    </row>
    <row r="65" spans="2:22" ht="13.5" customHeight="1" x14ac:dyDescent="0.35">
      <c r="B65" s="1094" t="s">
        <v>583</v>
      </c>
      <c r="C65" s="995"/>
      <c r="D65" s="995"/>
      <c r="E65" s="995"/>
      <c r="F65" s="995"/>
      <c r="G65" s="996"/>
      <c r="H65" s="992"/>
      <c r="I65" s="993"/>
      <c r="J65" s="997"/>
      <c r="K65" s="839"/>
      <c r="L65" s="355"/>
      <c r="M65" s="355"/>
      <c r="R65" s="355"/>
      <c r="S65" s="355"/>
      <c r="T65" s="355"/>
      <c r="U65" s="355"/>
      <c r="V65" s="355"/>
    </row>
    <row r="66" spans="2:22" ht="13.5" customHeight="1" x14ac:dyDescent="0.35">
      <c r="B66" s="989" t="s">
        <v>514</v>
      </c>
      <c r="C66" s="990"/>
      <c r="D66" s="990"/>
      <c r="E66" s="990"/>
      <c r="F66" s="995">
        <f>SUM(F61:F65)</f>
        <v>82992512</v>
      </c>
      <c r="G66" s="1095"/>
      <c r="H66" s="1096"/>
      <c r="I66" s="1097"/>
      <c r="J66" s="1096"/>
      <c r="K66" s="943"/>
      <c r="L66" s="355"/>
      <c r="M66" s="355"/>
      <c r="R66" s="355"/>
      <c r="S66" s="355"/>
      <c r="T66" s="355"/>
      <c r="U66" s="355"/>
      <c r="V66" s="355"/>
    </row>
    <row r="67" spans="2:22" ht="13.5" customHeight="1" x14ac:dyDescent="0.35">
      <c r="H67" s="1187">
        <f>SUM(H13:H66)</f>
        <v>26026966.09</v>
      </c>
      <c r="I67" s="1188">
        <f>H67/J67</f>
        <v>1.7299999999999999E-2</v>
      </c>
      <c r="J67" s="343">
        <f>F66+F55</f>
        <v>1508493852</v>
      </c>
      <c r="L67" s="355"/>
      <c r="M67" s="355"/>
      <c r="R67" s="355"/>
      <c r="S67" s="355"/>
      <c r="T67" s="355"/>
      <c r="U67" s="355"/>
      <c r="V67" s="355"/>
    </row>
    <row r="69" spans="2:22" x14ac:dyDescent="0.35">
      <c r="J69" s="343">
        <f>F13+F14</f>
        <v>872800000</v>
      </c>
      <c r="K69" s="405" t="s">
        <v>622</v>
      </c>
    </row>
    <row r="70" spans="2:22" x14ac:dyDescent="0.35">
      <c r="I70" s="892" t="s">
        <v>624</v>
      </c>
      <c r="J70" s="1187">
        <f>J67-J69</f>
        <v>635693852</v>
      </c>
    </row>
    <row r="71" spans="2:22" x14ac:dyDescent="0.35">
      <c r="I71" s="892" t="s">
        <v>623</v>
      </c>
      <c r="J71" s="343" t="e">
        <f>RESUMEN!#REF!+RESUMEN!#REF!</f>
        <v>#REF!</v>
      </c>
    </row>
    <row r="72" spans="2:22" x14ac:dyDescent="0.35">
      <c r="I72" s="892" t="s">
        <v>625</v>
      </c>
      <c r="J72" s="343" t="e">
        <f>SUM(J70:J71)</f>
        <v>#REF!</v>
      </c>
    </row>
    <row r="74" spans="2:22" x14ac:dyDescent="0.35">
      <c r="J74" s="343" t="s">
        <v>626</v>
      </c>
    </row>
  </sheetData>
  <mergeCells count="24">
    <mergeCell ref="B58:C58"/>
    <mergeCell ref="D58:G58"/>
    <mergeCell ref="B59:C59"/>
    <mergeCell ref="D59:G59"/>
    <mergeCell ref="M6:R7"/>
    <mergeCell ref="M8:M9"/>
    <mergeCell ref="B10:E10"/>
    <mergeCell ref="B41:E41"/>
    <mergeCell ref="B46:E46"/>
    <mergeCell ref="B57:C57"/>
    <mergeCell ref="D57:G57"/>
    <mergeCell ref="B6:B8"/>
    <mergeCell ref="C6:D7"/>
    <mergeCell ref="E6:E8"/>
    <mergeCell ref="F6:F7"/>
    <mergeCell ref="G6:G8"/>
    <mergeCell ref="K6:K8"/>
    <mergeCell ref="N1:R1"/>
    <mergeCell ref="B2:G2"/>
    <mergeCell ref="M2:R2"/>
    <mergeCell ref="B3:G3"/>
    <mergeCell ref="M3:M5"/>
    <mergeCell ref="B4:G4"/>
    <mergeCell ref="B5:G5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theme="5" tint="-0.249977111117893"/>
  </sheetPr>
  <dimension ref="A1:U41"/>
  <sheetViews>
    <sheetView workbookViewId="0">
      <selection activeCell="I34" sqref="I34"/>
    </sheetView>
  </sheetViews>
  <sheetFormatPr baseColWidth="10" defaultRowHeight="12.5" x14ac:dyDescent="0.25"/>
  <cols>
    <col min="3" max="3" width="18.54296875" customWidth="1"/>
    <col min="4" max="4" width="23.81640625" customWidth="1"/>
    <col min="5" max="6" width="18.7265625" customWidth="1"/>
    <col min="8" max="8" width="18.7265625" customWidth="1"/>
    <col min="9" max="9" width="12.81640625" bestFit="1" customWidth="1"/>
    <col min="14" max="14" width="12.7265625" bestFit="1" customWidth="1"/>
  </cols>
  <sheetData>
    <row r="1" spans="1:21" ht="15.5" x14ac:dyDescent="0.25">
      <c r="A1" s="331"/>
      <c r="B1" s="332"/>
      <c r="C1" s="333"/>
      <c r="D1" s="333"/>
      <c r="E1" s="333"/>
      <c r="F1" s="333"/>
      <c r="G1" s="334" t="s">
        <v>360</v>
      </c>
      <c r="H1" s="335"/>
      <c r="I1" s="336"/>
      <c r="J1" s="337"/>
      <c r="K1" s="337"/>
      <c r="L1" s="338"/>
      <c r="M1" s="1654"/>
      <c r="N1" s="1654"/>
      <c r="O1" s="1654"/>
      <c r="P1" s="1654"/>
      <c r="Q1" s="1654"/>
      <c r="R1" s="340"/>
      <c r="S1" s="340"/>
      <c r="T1" s="340"/>
      <c r="U1" s="340"/>
    </row>
    <row r="2" spans="1:21" ht="15.5" x14ac:dyDescent="0.25">
      <c r="A2" s="341"/>
      <c r="B2" s="1655" t="s">
        <v>0</v>
      </c>
      <c r="C2" s="1656"/>
      <c r="D2" s="1656"/>
      <c r="E2" s="1656"/>
      <c r="F2" s="1656"/>
      <c r="G2" s="1657"/>
      <c r="H2" s="343"/>
      <c r="I2" s="344"/>
      <c r="J2" s="345"/>
      <c r="K2" s="345"/>
      <c r="L2" s="1658"/>
      <c r="M2" s="1658"/>
      <c r="N2" s="1658"/>
      <c r="O2" s="1658"/>
      <c r="P2" s="1658"/>
      <c r="Q2" s="1658"/>
      <c r="R2" s="346"/>
      <c r="S2" s="346"/>
      <c r="T2" s="346"/>
      <c r="U2" s="346"/>
    </row>
    <row r="3" spans="1:21" ht="15.5" x14ac:dyDescent="0.25">
      <c r="A3" s="347"/>
      <c r="B3" s="1659" t="s">
        <v>361</v>
      </c>
      <c r="C3" s="1660"/>
      <c r="D3" s="1660"/>
      <c r="E3" s="1660"/>
      <c r="F3" s="1660"/>
      <c r="G3" s="1661"/>
      <c r="H3" s="348"/>
      <c r="I3" s="349"/>
      <c r="J3" s="350"/>
      <c r="K3" s="350"/>
      <c r="L3" s="1662"/>
      <c r="M3" s="351"/>
      <c r="N3" s="351"/>
      <c r="O3" s="351"/>
      <c r="P3" s="351"/>
      <c r="Q3" s="351"/>
      <c r="R3" s="346"/>
      <c r="S3" s="346"/>
      <c r="T3" s="346"/>
      <c r="U3" s="347"/>
    </row>
    <row r="4" spans="1:21" ht="15.5" x14ac:dyDescent="0.25">
      <c r="A4" s="341"/>
      <c r="B4" s="1663" t="s">
        <v>618</v>
      </c>
      <c r="C4" s="1664"/>
      <c r="D4" s="1664"/>
      <c r="E4" s="1664"/>
      <c r="F4" s="1664"/>
      <c r="G4" s="1665"/>
      <c r="H4" s="343"/>
      <c r="I4" s="344"/>
      <c r="J4" s="350"/>
      <c r="K4" s="350"/>
      <c r="L4" s="1662"/>
      <c r="M4" s="353"/>
      <c r="N4" s="353"/>
      <c r="O4" s="345"/>
      <c r="P4" s="345"/>
      <c r="Q4" s="354"/>
      <c r="R4" s="346"/>
      <c r="S4" s="346"/>
      <c r="T4" s="346"/>
      <c r="U4" s="346"/>
    </row>
    <row r="5" spans="1:21" ht="15.5" x14ac:dyDescent="0.35">
      <c r="A5" s="355"/>
      <c r="B5" s="1649" t="s">
        <v>362</v>
      </c>
      <c r="C5" s="1651" t="s">
        <v>363</v>
      </c>
      <c r="D5" s="1652"/>
      <c r="E5" s="1649" t="s">
        <v>364</v>
      </c>
      <c r="F5" s="1649" t="s">
        <v>365</v>
      </c>
      <c r="G5" s="1649" t="s">
        <v>366</v>
      </c>
      <c r="H5" s="356"/>
      <c r="I5" s="357"/>
      <c r="J5" s="1653" t="s">
        <v>367</v>
      </c>
      <c r="K5" s="1169"/>
      <c r="L5" s="1640"/>
      <c r="M5" s="1640"/>
      <c r="N5" s="1640"/>
      <c r="O5" s="1640"/>
      <c r="P5" s="1640"/>
      <c r="Q5" s="1640"/>
      <c r="R5" s="1169"/>
      <c r="S5" s="1169"/>
      <c r="T5" s="1169"/>
      <c r="U5" s="1169"/>
    </row>
    <row r="6" spans="1:21" ht="15.5" x14ac:dyDescent="0.35">
      <c r="A6" s="355"/>
      <c r="B6" s="1649"/>
      <c r="C6" s="1651"/>
      <c r="D6" s="1652"/>
      <c r="E6" s="1649"/>
      <c r="F6" s="1649"/>
      <c r="G6" s="1649"/>
      <c r="H6" s="356"/>
      <c r="I6" s="357"/>
      <c r="J6" s="1649"/>
      <c r="K6" s="1169"/>
      <c r="L6" s="1640"/>
      <c r="M6" s="1640"/>
      <c r="N6" s="1640"/>
      <c r="O6" s="1640"/>
      <c r="P6" s="1640"/>
      <c r="Q6" s="1640"/>
      <c r="R6" s="1169"/>
      <c r="S6" s="1169"/>
      <c r="T6" s="1169"/>
      <c r="U6" s="1169"/>
    </row>
    <row r="7" spans="1:21" ht="15.5" x14ac:dyDescent="0.35">
      <c r="A7" s="355"/>
      <c r="B7" s="1650"/>
      <c r="C7" s="360" t="s">
        <v>368</v>
      </c>
      <c r="D7" s="361" t="s">
        <v>369</v>
      </c>
      <c r="E7" s="1650"/>
      <c r="F7" s="362" t="s">
        <v>370</v>
      </c>
      <c r="G7" s="1650"/>
      <c r="H7" s="363"/>
      <c r="I7" s="364"/>
      <c r="J7" s="1650"/>
      <c r="K7" s="353"/>
      <c r="L7" s="354"/>
      <c r="M7" s="338"/>
      <c r="N7" s="338"/>
      <c r="O7" s="338"/>
      <c r="P7" s="338"/>
      <c r="Q7" s="338"/>
      <c r="R7" s="340"/>
      <c r="S7" s="1169"/>
      <c r="T7" s="1169"/>
      <c r="U7" s="1169"/>
    </row>
    <row r="8" spans="1:21" ht="15.5" x14ac:dyDescent="0.25">
      <c r="A8" s="365"/>
      <c r="B8" s="1641" t="s">
        <v>371</v>
      </c>
      <c r="C8" s="1642"/>
      <c r="D8" s="1642"/>
      <c r="E8" s="1642"/>
      <c r="F8" s="366">
        <v>79708894.439999998</v>
      </c>
      <c r="G8" s="367"/>
      <c r="H8" s="368"/>
      <c r="I8" s="369"/>
      <c r="J8" s="365"/>
      <c r="K8" s="365"/>
      <c r="L8" s="365"/>
      <c r="M8" s="365"/>
      <c r="N8" s="365"/>
      <c r="O8" s="365"/>
      <c r="P8" s="365"/>
      <c r="Q8" s="353"/>
      <c r="R8" s="353"/>
      <c r="S8" s="353"/>
      <c r="T8" s="353"/>
      <c r="U8" s="353"/>
    </row>
    <row r="9" spans="1:21" ht="15.5" x14ac:dyDescent="0.25">
      <c r="A9" s="370"/>
      <c r="B9" s="371" t="s">
        <v>372</v>
      </c>
      <c r="C9" s="372"/>
      <c r="D9" s="372"/>
      <c r="E9" s="372"/>
      <c r="F9" s="373">
        <v>75572709.489999995</v>
      </c>
      <c r="G9" s="367"/>
      <c r="H9" s="368"/>
      <c r="I9" s="369"/>
      <c r="J9" s="353"/>
      <c r="K9" s="353"/>
      <c r="L9" s="365"/>
      <c r="M9" s="374"/>
      <c r="N9" s="370"/>
      <c r="O9" s="370"/>
      <c r="P9" s="370"/>
      <c r="Q9" s="374"/>
      <c r="R9" s="374"/>
      <c r="S9" s="374"/>
      <c r="T9" s="374"/>
      <c r="U9" s="374"/>
    </row>
    <row r="10" spans="1:21" ht="15.5" x14ac:dyDescent="0.25">
      <c r="A10" s="375"/>
      <c r="B10" s="730">
        <v>150000125985</v>
      </c>
      <c r="C10" s="615">
        <v>44817</v>
      </c>
      <c r="D10" s="615">
        <v>44844</v>
      </c>
      <c r="E10" s="726" t="s">
        <v>554</v>
      </c>
      <c r="F10" s="560"/>
      <c r="G10" s="561">
        <v>1.75</v>
      </c>
      <c r="H10" s="804"/>
      <c r="I10" s="561"/>
      <c r="J10" s="805" t="s">
        <v>375</v>
      </c>
      <c r="K10" s="1694" t="s">
        <v>555</v>
      </c>
      <c r="L10" s="1695"/>
      <c r="M10" s="375"/>
      <c r="N10" s="375"/>
      <c r="O10" s="375"/>
      <c r="P10" s="375"/>
      <c r="Q10" s="385"/>
      <c r="R10" s="385"/>
      <c r="S10" s="385"/>
      <c r="T10" s="385"/>
      <c r="U10" s="385"/>
    </row>
    <row r="11" spans="1:21" ht="15.5" x14ac:dyDescent="0.25">
      <c r="A11" s="375"/>
      <c r="B11" s="730">
        <v>110000082863</v>
      </c>
      <c r="C11" s="615">
        <v>44819</v>
      </c>
      <c r="D11" s="615">
        <v>44909</v>
      </c>
      <c r="E11" s="726" t="s">
        <v>556</v>
      </c>
      <c r="F11" s="560"/>
      <c r="G11" s="561">
        <v>2.25</v>
      </c>
      <c r="H11" s="804"/>
      <c r="I11" s="561"/>
      <c r="J11" s="805" t="s">
        <v>375</v>
      </c>
      <c r="K11" s="1694" t="s">
        <v>555</v>
      </c>
      <c r="L11" s="1695"/>
      <c r="M11" s="375"/>
      <c r="N11" s="375"/>
      <c r="O11" s="375"/>
      <c r="P11" s="375"/>
      <c r="Q11" s="385"/>
      <c r="R11" s="385"/>
      <c r="S11" s="385"/>
      <c r="T11" s="385"/>
      <c r="U11" s="385"/>
    </row>
    <row r="12" spans="1:21" ht="15.5" x14ac:dyDescent="0.25">
      <c r="A12" s="375"/>
      <c r="B12" s="730">
        <v>110000083243</v>
      </c>
      <c r="C12" s="615">
        <v>44834</v>
      </c>
      <c r="D12" s="615">
        <v>44924</v>
      </c>
      <c r="E12" s="726" t="s">
        <v>556</v>
      </c>
      <c r="F12" s="560"/>
      <c r="G12" s="561">
        <v>2.25</v>
      </c>
      <c r="H12" s="804"/>
      <c r="I12" s="561"/>
      <c r="J12" s="805" t="s">
        <v>375</v>
      </c>
      <c r="K12" s="1694" t="s">
        <v>555</v>
      </c>
      <c r="L12" s="1695"/>
      <c r="M12" s="375"/>
      <c r="N12" s="375"/>
      <c r="O12" s="375"/>
      <c r="P12" s="375"/>
      <c r="Q12" s="385"/>
      <c r="R12" s="385"/>
      <c r="S12" s="385"/>
      <c r="T12" s="385"/>
      <c r="U12" s="385"/>
    </row>
    <row r="13" spans="1:21" ht="15.5" x14ac:dyDescent="0.25">
      <c r="A13" s="520"/>
      <c r="B13" s="806">
        <v>110000082685</v>
      </c>
      <c r="C13" s="645">
        <v>44798</v>
      </c>
      <c r="D13" s="645">
        <v>44878</v>
      </c>
      <c r="E13" s="647" t="s">
        <v>556</v>
      </c>
      <c r="F13" s="807">
        <v>4136184.95</v>
      </c>
      <c r="G13" s="808">
        <v>2.25</v>
      </c>
      <c r="H13" s="809">
        <f>F13*G13/100</f>
        <v>93064.16</v>
      </c>
      <c r="I13" s="808"/>
      <c r="J13" s="398" t="s">
        <v>375</v>
      </c>
      <c r="K13" s="810"/>
      <c r="L13" s="520"/>
      <c r="M13" s="520"/>
      <c r="N13" s="520"/>
      <c r="O13" s="520"/>
      <c r="P13" s="520"/>
      <c r="Q13" s="524"/>
      <c r="R13" s="524"/>
      <c r="S13" s="524"/>
      <c r="T13" s="524"/>
      <c r="U13" s="524"/>
    </row>
    <row r="14" spans="1:21" ht="15.5" x14ac:dyDescent="0.25">
      <c r="A14" s="386"/>
      <c r="B14" s="1174">
        <v>110000082246</v>
      </c>
      <c r="C14" s="394">
        <v>44760</v>
      </c>
      <c r="D14" s="395">
        <v>44851</v>
      </c>
      <c r="E14" s="397" t="s">
        <v>557</v>
      </c>
      <c r="F14" s="379">
        <v>180336.44</v>
      </c>
      <c r="G14" s="380">
        <v>0.75</v>
      </c>
      <c r="H14" s="809">
        <f>F14*G14/100</f>
        <v>1352.52</v>
      </c>
      <c r="I14" s="380"/>
      <c r="J14" s="398" t="s">
        <v>375</v>
      </c>
      <c r="K14" s="391" t="s">
        <v>619</v>
      </c>
      <c r="L14" s="392"/>
      <c r="M14" s="392"/>
      <c r="N14" s="392"/>
      <c r="O14" s="392"/>
      <c r="P14" s="392"/>
      <c r="Q14" s="393"/>
      <c r="R14" s="393"/>
      <c r="S14" s="393"/>
      <c r="T14" s="393"/>
      <c r="U14" s="393"/>
    </row>
    <row r="15" spans="1:21" ht="15.5" x14ac:dyDescent="0.35">
      <c r="A15" s="370"/>
      <c r="B15" s="1171">
        <v>110000060033</v>
      </c>
      <c r="C15" s="400">
        <v>43192</v>
      </c>
      <c r="D15" s="401">
        <v>45019</v>
      </c>
      <c r="E15" s="402" t="s">
        <v>376</v>
      </c>
      <c r="F15" s="403">
        <v>7000000</v>
      </c>
      <c r="G15" s="404">
        <v>2.88</v>
      </c>
      <c r="H15" s="809">
        <f t="shared" ref="H15:H25" si="0">F15*G15/100</f>
        <v>201600</v>
      </c>
      <c r="I15" s="404"/>
      <c r="J15" s="383" t="s">
        <v>375</v>
      </c>
      <c r="K15" s="405">
        <v>957</v>
      </c>
      <c r="L15" s="358"/>
      <c r="M15" s="355"/>
      <c r="N15" s="355"/>
      <c r="O15" s="355"/>
      <c r="P15" s="355"/>
      <c r="Q15" s="359"/>
      <c r="R15" s="1169"/>
      <c r="S15" s="1169"/>
      <c r="T15" s="1169"/>
      <c r="U15" s="1169"/>
    </row>
    <row r="16" spans="1:21" ht="15.5" x14ac:dyDescent="0.25">
      <c r="A16" s="365"/>
      <c r="B16" s="1171">
        <v>110000060490</v>
      </c>
      <c r="C16" s="406" t="s">
        <v>377</v>
      </c>
      <c r="D16" s="407" t="s">
        <v>378</v>
      </c>
      <c r="E16" s="408" t="s">
        <v>376</v>
      </c>
      <c r="F16" s="409">
        <v>1500000</v>
      </c>
      <c r="G16" s="404">
        <v>2.88</v>
      </c>
      <c r="H16" s="809">
        <f t="shared" si="0"/>
        <v>43200</v>
      </c>
      <c r="I16" s="404"/>
      <c r="J16" s="383" t="s">
        <v>375</v>
      </c>
      <c r="K16" s="405"/>
      <c r="L16" s="365"/>
      <c r="M16" s="365"/>
      <c r="N16" s="365"/>
      <c r="O16" s="365"/>
      <c r="P16" s="365"/>
      <c r="Q16" s="353"/>
      <c r="R16" s="353"/>
      <c r="S16" s="353"/>
      <c r="T16" s="353"/>
      <c r="U16" s="353"/>
    </row>
    <row r="17" spans="1:21" ht="15.5" x14ac:dyDescent="0.25">
      <c r="A17" s="365"/>
      <c r="B17" s="1171">
        <v>110000049072</v>
      </c>
      <c r="C17" s="400">
        <v>42947</v>
      </c>
      <c r="D17" s="400">
        <v>45138</v>
      </c>
      <c r="E17" s="410" t="s">
        <v>379</v>
      </c>
      <c r="F17" s="411">
        <v>1468558.75</v>
      </c>
      <c r="G17" s="412">
        <v>3</v>
      </c>
      <c r="H17" s="809">
        <f t="shared" si="0"/>
        <v>44056.76</v>
      </c>
      <c r="I17" s="412"/>
      <c r="J17" s="383" t="s">
        <v>375</v>
      </c>
      <c r="K17" s="405">
        <v>826</v>
      </c>
      <c r="L17" s="413"/>
      <c r="M17" s="353"/>
      <c r="N17" s="365"/>
      <c r="O17" s="365"/>
      <c r="P17" s="365"/>
      <c r="Q17" s="353"/>
      <c r="R17" s="353"/>
      <c r="S17" s="353"/>
      <c r="T17" s="353"/>
      <c r="U17" s="353"/>
    </row>
    <row r="18" spans="1:21" ht="15.5" x14ac:dyDescent="0.35">
      <c r="A18" s="370"/>
      <c r="B18" s="1170">
        <v>110000052461</v>
      </c>
      <c r="C18" s="401">
        <v>42989</v>
      </c>
      <c r="D18" s="401">
        <v>45180</v>
      </c>
      <c r="E18" s="410" t="s">
        <v>379</v>
      </c>
      <c r="F18" s="403">
        <v>745869</v>
      </c>
      <c r="G18" s="404">
        <v>3</v>
      </c>
      <c r="H18" s="809">
        <f t="shared" si="0"/>
        <v>22376.07</v>
      </c>
      <c r="I18" s="404"/>
      <c r="J18" s="383" t="s">
        <v>375</v>
      </c>
      <c r="K18" s="405">
        <v>2038</v>
      </c>
      <c r="L18" s="358"/>
      <c r="M18" s="355"/>
      <c r="N18" s="355"/>
      <c r="O18" s="355"/>
      <c r="P18" s="355"/>
      <c r="Q18" s="359"/>
      <c r="R18" s="1169"/>
      <c r="S18" s="1169"/>
      <c r="T18" s="1169"/>
      <c r="U18" s="1169"/>
    </row>
    <row r="19" spans="1:21" ht="15.5" x14ac:dyDescent="0.35">
      <c r="A19" s="370"/>
      <c r="B19" s="415">
        <v>110000034964</v>
      </c>
      <c r="C19" s="401">
        <v>43021</v>
      </c>
      <c r="D19" s="401">
        <v>45211</v>
      </c>
      <c r="E19" s="402" t="s">
        <v>379</v>
      </c>
      <c r="F19" s="403">
        <v>25309538.07</v>
      </c>
      <c r="G19" s="404">
        <v>3</v>
      </c>
      <c r="H19" s="809">
        <f t="shared" si="0"/>
        <v>759286.14</v>
      </c>
      <c r="I19" s="404"/>
      <c r="J19" s="383" t="s">
        <v>375</v>
      </c>
      <c r="K19" s="405" t="s">
        <v>380</v>
      </c>
      <c r="L19" s="358"/>
      <c r="M19" s="355"/>
      <c r="N19" s="355"/>
      <c r="O19" s="355"/>
      <c r="P19" s="355"/>
      <c r="Q19" s="359"/>
      <c r="R19" s="1169"/>
      <c r="S19" s="1169"/>
      <c r="T19" s="1169"/>
      <c r="U19" s="1169"/>
    </row>
    <row r="20" spans="1:21" ht="15.5" x14ac:dyDescent="0.25">
      <c r="A20" s="365"/>
      <c r="B20" s="1171">
        <v>110000060042</v>
      </c>
      <c r="C20" s="400">
        <v>43192</v>
      </c>
      <c r="D20" s="400">
        <v>45749</v>
      </c>
      <c r="E20" s="410" t="s">
        <v>381</v>
      </c>
      <c r="F20" s="411">
        <v>14213000</v>
      </c>
      <c r="G20" s="412">
        <v>3.15</v>
      </c>
      <c r="H20" s="809">
        <f t="shared" si="0"/>
        <v>447709.5</v>
      </c>
      <c r="I20" s="412"/>
      <c r="J20" s="383" t="s">
        <v>375</v>
      </c>
      <c r="K20" s="405"/>
      <c r="L20" s="365"/>
      <c r="M20" s="365"/>
      <c r="N20" s="365"/>
      <c r="O20" s="365"/>
      <c r="P20" s="365"/>
      <c r="Q20" s="353"/>
      <c r="R20" s="353"/>
      <c r="S20" s="353"/>
      <c r="T20" s="353"/>
      <c r="U20" s="353"/>
    </row>
    <row r="21" spans="1:21" ht="15.5" x14ac:dyDescent="0.25">
      <c r="A21" s="365"/>
      <c r="B21" s="1171">
        <v>110000060392</v>
      </c>
      <c r="C21" s="406" t="s">
        <v>377</v>
      </c>
      <c r="D21" s="407" t="s">
        <v>382</v>
      </c>
      <c r="E21" s="408" t="s">
        <v>381</v>
      </c>
      <c r="F21" s="409">
        <v>3097662</v>
      </c>
      <c r="G21" s="404">
        <v>3.15</v>
      </c>
      <c r="H21" s="809">
        <f t="shared" si="0"/>
        <v>97576.35</v>
      </c>
      <c r="I21" s="404"/>
      <c r="J21" s="383" t="s">
        <v>375</v>
      </c>
      <c r="K21" s="405"/>
      <c r="L21" s="365"/>
      <c r="M21" s="365"/>
      <c r="N21" s="365"/>
      <c r="O21" s="365"/>
      <c r="P21" s="365"/>
      <c r="Q21" s="353"/>
      <c r="R21" s="353"/>
      <c r="S21" s="353"/>
      <c r="T21" s="353"/>
      <c r="U21" s="353"/>
    </row>
    <row r="22" spans="1:21" ht="15.5" x14ac:dyDescent="0.35">
      <c r="A22" s="341"/>
      <c r="B22" s="416">
        <v>110000055015</v>
      </c>
      <c r="C22" s="417">
        <v>42964</v>
      </c>
      <c r="D22" s="417">
        <v>45887</v>
      </c>
      <c r="E22" s="418" t="s">
        <v>383</v>
      </c>
      <c r="F22" s="419">
        <v>14996118.359999999</v>
      </c>
      <c r="G22" s="420">
        <v>3.25</v>
      </c>
      <c r="H22" s="809">
        <f t="shared" si="0"/>
        <v>487373.85</v>
      </c>
      <c r="I22" s="420"/>
      <c r="J22" s="383" t="s">
        <v>375</v>
      </c>
      <c r="K22" s="405" t="s">
        <v>384</v>
      </c>
      <c r="L22" s="358"/>
      <c r="M22" s="355"/>
      <c r="N22" s="355"/>
      <c r="O22" s="355"/>
      <c r="P22" s="355"/>
      <c r="Q22" s="359"/>
      <c r="R22" s="359"/>
      <c r="S22" s="359"/>
      <c r="T22" s="359"/>
      <c r="U22" s="359"/>
    </row>
    <row r="23" spans="1:21" ht="15.5" x14ac:dyDescent="0.35">
      <c r="A23" s="370"/>
      <c r="B23" s="1170">
        <v>110000052935</v>
      </c>
      <c r="C23" s="401">
        <v>42975</v>
      </c>
      <c r="D23" s="401">
        <v>45897</v>
      </c>
      <c r="E23" s="402" t="s">
        <v>383</v>
      </c>
      <c r="F23" s="403">
        <v>2925441.92</v>
      </c>
      <c r="G23" s="404">
        <v>3.25</v>
      </c>
      <c r="H23" s="809">
        <f t="shared" si="0"/>
        <v>95076.86</v>
      </c>
      <c r="I23" s="404"/>
      <c r="J23" s="383" t="s">
        <v>375</v>
      </c>
      <c r="K23" s="405" t="s">
        <v>385</v>
      </c>
      <c r="L23" s="358"/>
      <c r="M23" s="355"/>
      <c r="N23" s="355"/>
      <c r="O23" s="355"/>
      <c r="P23" s="355"/>
      <c r="Q23" s="359"/>
      <c r="R23" s="1169"/>
      <c r="S23" s="1169"/>
      <c r="T23" s="1169"/>
      <c r="U23" s="1169"/>
    </row>
    <row r="24" spans="1:21" ht="15.5" x14ac:dyDescent="0.35">
      <c r="A24" s="370"/>
      <c r="B24" s="1173" t="s">
        <v>386</v>
      </c>
      <c r="C24" s="401"/>
      <c r="D24" s="422"/>
      <c r="E24" s="423"/>
      <c r="F24" s="424">
        <v>0</v>
      </c>
      <c r="G24" s="425"/>
      <c r="H24" s="809">
        <f t="shared" si="0"/>
        <v>0</v>
      </c>
      <c r="I24" s="369"/>
      <c r="J24" s="426"/>
      <c r="K24" s="405"/>
      <c r="L24" s="358"/>
      <c r="M24" s="355"/>
      <c r="N24" s="355"/>
      <c r="O24" s="355"/>
      <c r="P24" s="355"/>
      <c r="Q24" s="359"/>
      <c r="R24" s="1169"/>
      <c r="S24" s="1169"/>
      <c r="T24" s="1169"/>
      <c r="U24" s="1169"/>
    </row>
    <row r="25" spans="1:21" ht="15.5" x14ac:dyDescent="0.35">
      <c r="A25" s="386"/>
      <c r="B25" s="1174"/>
      <c r="C25" s="394"/>
      <c r="D25" s="395"/>
      <c r="E25" s="397"/>
      <c r="F25" s="379"/>
      <c r="G25" s="380"/>
      <c r="H25" s="809">
        <f t="shared" si="0"/>
        <v>0</v>
      </c>
      <c r="I25" s="427"/>
      <c r="J25" s="393"/>
      <c r="K25" s="391"/>
      <c r="L25" s="428"/>
      <c r="M25" s="429"/>
      <c r="N25" s="429"/>
      <c r="O25" s="429"/>
      <c r="P25" s="429"/>
      <c r="Q25" s="430"/>
      <c r="R25" s="430"/>
      <c r="S25" s="430"/>
      <c r="T25" s="430"/>
      <c r="U25" s="430"/>
    </row>
    <row r="26" spans="1:21" ht="15.5" x14ac:dyDescent="0.35">
      <c r="A26" s="370"/>
      <c r="B26" s="1175"/>
      <c r="C26" s="813"/>
      <c r="D26" s="814"/>
      <c r="E26" s="814"/>
      <c r="F26" s="815"/>
      <c r="G26" s="816"/>
      <c r="H26" s="817">
        <f>SUM(H13:H25)</f>
        <v>2292672.21</v>
      </c>
      <c r="I26" s="818">
        <f>H26/F9</f>
        <v>3.0300000000000001E-2</v>
      </c>
      <c r="J26" s="353"/>
      <c r="K26" s="405"/>
      <c r="L26" s="358"/>
      <c r="M26" s="355"/>
      <c r="N26" s="355"/>
      <c r="O26" s="355"/>
      <c r="P26" s="355"/>
      <c r="Q26" s="359"/>
      <c r="R26" s="1169"/>
      <c r="S26" s="1169"/>
      <c r="T26" s="1169"/>
      <c r="U26" s="1169"/>
    </row>
    <row r="27" spans="1:21" ht="15.5" x14ac:dyDescent="0.35">
      <c r="A27" s="370"/>
      <c r="B27" s="1172" t="s">
        <v>401</v>
      </c>
      <c r="C27" s="509"/>
      <c r="D27" s="509"/>
      <c r="E27" s="509"/>
      <c r="F27" s="486">
        <v>4136184.95</v>
      </c>
      <c r="G27" s="367"/>
      <c r="H27" s="368"/>
      <c r="I27" s="369"/>
      <c r="J27" s="353"/>
      <c r="K27" s="405"/>
      <c r="L27" s="358"/>
      <c r="M27" s="355"/>
      <c r="N27" s="355"/>
      <c r="O27" s="355"/>
      <c r="P27" s="355"/>
      <c r="Q27" s="359"/>
      <c r="R27" s="1169"/>
      <c r="S27" s="1169"/>
      <c r="T27" s="1169"/>
      <c r="U27" s="1169"/>
    </row>
    <row r="28" spans="1:21" ht="15.5" x14ac:dyDescent="0.35">
      <c r="A28" s="370"/>
      <c r="B28" s="614" t="s">
        <v>558</v>
      </c>
      <c r="C28" s="820">
        <v>44817</v>
      </c>
      <c r="D28" s="820">
        <v>44844</v>
      </c>
      <c r="E28" s="726" t="s">
        <v>554</v>
      </c>
      <c r="F28" s="725"/>
      <c r="G28" s="561">
        <v>2</v>
      </c>
      <c r="H28" s="809">
        <f>F28*G28/100/360*3</f>
        <v>0</v>
      </c>
      <c r="I28" s="1206"/>
      <c r="J28" s="821" t="s">
        <v>375</v>
      </c>
      <c r="K28" s="1694" t="s">
        <v>555</v>
      </c>
      <c r="L28" s="1695"/>
      <c r="M28" s="355"/>
      <c r="N28" s="355"/>
      <c r="O28" s="355"/>
      <c r="P28" s="355"/>
      <c r="Q28" s="359"/>
      <c r="R28" s="1169"/>
      <c r="S28" s="1169"/>
      <c r="T28" s="1169"/>
      <c r="U28" s="1169"/>
    </row>
    <row r="29" spans="1:21" ht="15.5" x14ac:dyDescent="0.35">
      <c r="A29" s="370"/>
      <c r="B29" s="614" t="s">
        <v>559</v>
      </c>
      <c r="C29" s="820">
        <v>44820</v>
      </c>
      <c r="D29" s="820">
        <v>44910</v>
      </c>
      <c r="E29" s="726" t="s">
        <v>556</v>
      </c>
      <c r="F29" s="725"/>
      <c r="G29" s="561">
        <v>2.25</v>
      </c>
      <c r="H29" s="804"/>
      <c r="I29" s="1206"/>
      <c r="J29" s="821" t="s">
        <v>375</v>
      </c>
      <c r="K29" s="1694" t="s">
        <v>555</v>
      </c>
      <c r="L29" s="1695"/>
      <c r="M29" s="355"/>
      <c r="N29" s="355"/>
      <c r="O29" s="355"/>
      <c r="P29" s="355"/>
      <c r="Q29" s="359"/>
      <c r="R29" s="1169"/>
      <c r="S29" s="1169"/>
      <c r="T29" s="1169"/>
      <c r="U29" s="1169"/>
    </row>
    <row r="30" spans="1:21" ht="15.5" x14ac:dyDescent="0.35">
      <c r="A30" s="370"/>
      <c r="B30" s="614" t="s">
        <v>560</v>
      </c>
      <c r="C30" s="820">
        <v>44834</v>
      </c>
      <c r="D30" s="820">
        <v>44924</v>
      </c>
      <c r="E30" s="726" t="s">
        <v>556</v>
      </c>
      <c r="F30" s="725"/>
      <c r="G30" s="561">
        <v>2.25</v>
      </c>
      <c r="H30" s="804"/>
      <c r="I30" s="561"/>
      <c r="J30" s="821" t="s">
        <v>375</v>
      </c>
      <c r="K30" s="1694" t="s">
        <v>555</v>
      </c>
      <c r="L30" s="1695"/>
      <c r="M30" s="355"/>
      <c r="N30" s="355"/>
      <c r="O30" s="355"/>
      <c r="P30" s="355"/>
      <c r="Q30" s="359"/>
      <c r="R30" s="1169"/>
      <c r="S30" s="1169"/>
      <c r="T30" s="1169"/>
      <c r="U30" s="1169"/>
    </row>
    <row r="31" spans="1:21" ht="15.5" x14ac:dyDescent="0.35">
      <c r="A31" s="370"/>
      <c r="B31" s="822" t="s">
        <v>561</v>
      </c>
      <c r="C31" s="823">
        <v>44798</v>
      </c>
      <c r="D31" s="823">
        <v>44888</v>
      </c>
      <c r="E31" s="824" t="s">
        <v>556</v>
      </c>
      <c r="F31" s="825">
        <v>4136184.95</v>
      </c>
      <c r="G31" s="826">
        <v>2.25</v>
      </c>
      <c r="H31" s="827">
        <f>F31*G31/100</f>
        <v>93064.16</v>
      </c>
      <c r="I31" s="826"/>
      <c r="J31" s="829" t="s">
        <v>375</v>
      </c>
      <c r="K31" s="810"/>
      <c r="L31" s="358"/>
      <c r="M31" s="355"/>
      <c r="N31" s="355"/>
      <c r="O31" s="355"/>
      <c r="P31" s="355"/>
      <c r="Q31" s="359"/>
      <c r="R31" s="1169"/>
      <c r="S31" s="1169"/>
      <c r="T31" s="1169"/>
      <c r="U31" s="1169"/>
    </row>
    <row r="32" spans="1:21" ht="14.5" x14ac:dyDescent="0.35">
      <c r="A32" s="1169"/>
      <c r="B32" s="431" t="s">
        <v>18</v>
      </c>
      <c r="C32" s="432"/>
      <c r="D32" s="433"/>
      <c r="E32" s="433"/>
      <c r="F32" s="433"/>
      <c r="G32" s="434"/>
      <c r="H32" s="436">
        <f>H31/F31</f>
        <v>2.2499999999999999E-2</v>
      </c>
      <c r="I32" s="831"/>
      <c r="J32" s="1169"/>
      <c r="K32" s="1169"/>
      <c r="L32" s="1169"/>
      <c r="M32" s="1169"/>
      <c r="N32" s="1169"/>
      <c r="O32" s="1169"/>
      <c r="P32" s="1169"/>
      <c r="Q32" s="1169"/>
      <c r="R32" s="1169"/>
      <c r="S32" s="1169"/>
      <c r="T32" s="1169"/>
      <c r="U32" s="1169"/>
    </row>
    <row r="33" spans="2:14" ht="15.5" x14ac:dyDescent="0.25">
      <c r="B33" s="437" t="s">
        <v>514</v>
      </c>
      <c r="C33" s="438"/>
      <c r="D33" s="438"/>
      <c r="E33" s="1643" t="s">
        <v>388</v>
      </c>
      <c r="F33" s="1643"/>
      <c r="G33" s="439">
        <v>14</v>
      </c>
      <c r="H33" s="1204"/>
      <c r="I33" s="441"/>
      <c r="J33" s="442"/>
      <c r="K33" s="442"/>
      <c r="L33" s="442"/>
      <c r="N33" s="3">
        <v>18065747.82</v>
      </c>
    </row>
    <row r="34" spans="2:14" ht="14.5" x14ac:dyDescent="0.35">
      <c r="B34" s="443">
        <v>44839</v>
      </c>
      <c r="C34" s="444"/>
      <c r="D34" s="444"/>
      <c r="E34" s="444"/>
      <c r="F34" s="444"/>
      <c r="G34" s="445"/>
      <c r="H34" s="1205"/>
      <c r="I34" s="447"/>
      <c r="J34" s="1169"/>
      <c r="K34" s="1169"/>
      <c r="L34" s="1169"/>
      <c r="N34" s="531">
        <v>2.2499999999999999E-2</v>
      </c>
    </row>
    <row r="35" spans="2:14" ht="14.5" x14ac:dyDescent="0.35">
      <c r="B35" s="448" t="s">
        <v>515</v>
      </c>
      <c r="C35" s="449"/>
      <c r="D35" s="1644" t="s">
        <v>547</v>
      </c>
      <c r="E35" s="1644"/>
      <c r="F35" s="1644"/>
      <c r="G35" s="1645"/>
      <c r="H35" s="435"/>
      <c r="I35" s="450"/>
      <c r="J35" s="1169"/>
      <c r="K35" s="1169"/>
      <c r="L35" s="1169"/>
      <c r="N35">
        <v>91</v>
      </c>
    </row>
    <row r="36" spans="2:14" ht="14.5" x14ac:dyDescent="0.35">
      <c r="B36" s="1646" t="s">
        <v>573</v>
      </c>
      <c r="C36" s="1647"/>
      <c r="D36" s="1647" t="s">
        <v>620</v>
      </c>
      <c r="E36" s="1647"/>
      <c r="F36" s="1647"/>
      <c r="G36" s="1648"/>
      <c r="H36" s="451"/>
      <c r="I36" s="452"/>
      <c r="J36" s="1169"/>
      <c r="K36" s="1169"/>
      <c r="L36" s="1169"/>
      <c r="N36" s="3">
        <f>N33*N34/365*N35</f>
        <v>101341.42</v>
      </c>
    </row>
    <row r="37" spans="2:14" ht="14.5" x14ac:dyDescent="0.35">
      <c r="B37" s="1637" t="s">
        <v>621</v>
      </c>
      <c r="C37" s="1638"/>
      <c r="D37" s="1638" t="s">
        <v>517</v>
      </c>
      <c r="E37" s="1638"/>
      <c r="F37" s="1638"/>
      <c r="G37" s="1639"/>
      <c r="H37" s="451"/>
      <c r="I37" s="452"/>
      <c r="J37" s="1169"/>
      <c r="K37" s="1169"/>
      <c r="L37" s="1169"/>
      <c r="N37" s="1203">
        <f>N36/N33</f>
        <v>5.6100000000000004E-3</v>
      </c>
    </row>
    <row r="38" spans="2:14" ht="15.5" x14ac:dyDescent="0.35">
      <c r="B38" s="453"/>
      <c r="C38" s="453"/>
      <c r="D38" s="453"/>
      <c r="E38" s="453"/>
      <c r="F38" s="453"/>
      <c r="G38" s="453"/>
      <c r="H38" s="454"/>
      <c r="I38" s="453"/>
      <c r="J38" s="1169"/>
      <c r="K38" s="1169"/>
      <c r="L38" s="1169"/>
      <c r="N38" s="1203">
        <f>N37*4</f>
        <v>2.2440000000000002E-2</v>
      </c>
    </row>
    <row r="39" spans="2:14" ht="15.5" x14ac:dyDescent="0.35">
      <c r="B39" s="344"/>
      <c r="C39" s="344"/>
      <c r="D39" s="455"/>
      <c r="E39" s="336"/>
      <c r="F39" s="456"/>
      <c r="G39" s="457"/>
      <c r="H39" s="458"/>
      <c r="I39" s="457"/>
      <c r="J39" s="1169"/>
      <c r="K39" s="1169"/>
      <c r="L39" s="1169"/>
    </row>
    <row r="40" spans="2:14" ht="15.5" x14ac:dyDescent="0.35">
      <c r="B40" s="459"/>
      <c r="C40" s="456"/>
      <c r="D40" s="456"/>
      <c r="E40" s="456"/>
      <c r="F40" s="456"/>
      <c r="G40" s="457"/>
      <c r="H40" s="458"/>
      <c r="I40" s="457"/>
      <c r="J40" s="1169"/>
      <c r="K40" s="1169"/>
      <c r="L40" s="1169"/>
    </row>
    <row r="41" spans="2:14" ht="15.5" x14ac:dyDescent="0.35">
      <c r="B41" s="459"/>
      <c r="C41" s="1169"/>
      <c r="D41" s="1169"/>
      <c r="E41" s="1169"/>
      <c r="F41" s="1169"/>
      <c r="G41" s="1169"/>
      <c r="H41" s="1169"/>
      <c r="I41" s="1169"/>
      <c r="J41" s="1169"/>
      <c r="K41" s="1169"/>
      <c r="L41" s="1169"/>
    </row>
  </sheetData>
  <mergeCells count="26">
    <mergeCell ref="D36:G36"/>
    <mergeCell ref="D37:G37"/>
    <mergeCell ref="D35:G35"/>
    <mergeCell ref="L5:Q6"/>
    <mergeCell ref="G5:G7"/>
    <mergeCell ref="B8:E8"/>
    <mergeCell ref="B5:B7"/>
    <mergeCell ref="C5:D6"/>
    <mergeCell ref="E5:E7"/>
    <mergeCell ref="F5:F6"/>
    <mergeCell ref="E33:F33"/>
    <mergeCell ref="B36:C36"/>
    <mergeCell ref="B37:C37"/>
    <mergeCell ref="J5:J7"/>
    <mergeCell ref="K10:L10"/>
    <mergeCell ref="K11:L11"/>
    <mergeCell ref="B2:G2"/>
    <mergeCell ref="L2:Q2"/>
    <mergeCell ref="B3:G3"/>
    <mergeCell ref="L3:L4"/>
    <mergeCell ref="B4:G4"/>
    <mergeCell ref="K29:L29"/>
    <mergeCell ref="K28:L28"/>
    <mergeCell ref="K30:L30"/>
    <mergeCell ref="K12:L12"/>
    <mergeCell ref="M1:Q1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theme="7" tint="-0.249977111117893"/>
  </sheetPr>
  <dimension ref="A1:U49"/>
  <sheetViews>
    <sheetView workbookViewId="0">
      <selection activeCell="H12" sqref="H12:H19"/>
    </sheetView>
  </sheetViews>
  <sheetFormatPr baseColWidth="10" defaultRowHeight="12.5" x14ac:dyDescent="0.25"/>
  <cols>
    <col min="2" max="2" width="22.54296875" customWidth="1"/>
    <col min="3" max="3" width="23.26953125" customWidth="1"/>
    <col min="4" max="4" width="20.81640625" customWidth="1"/>
    <col min="5" max="5" width="17.26953125" customWidth="1"/>
    <col min="6" max="6" width="18.26953125" customWidth="1"/>
    <col min="7" max="7" width="17" customWidth="1"/>
    <col min="8" max="8" width="21.453125" customWidth="1"/>
  </cols>
  <sheetData>
    <row r="1" spans="1:21" ht="15.5" x14ac:dyDescent="0.25">
      <c r="A1" s="331"/>
      <c r="B1" s="900"/>
      <c r="C1" s="901"/>
      <c r="D1" s="901"/>
      <c r="E1" s="901"/>
      <c r="F1" s="901"/>
      <c r="G1" s="902" t="s">
        <v>389</v>
      </c>
      <c r="H1" s="469"/>
      <c r="I1" s="470"/>
      <c r="J1" s="345"/>
      <c r="K1" s="337"/>
      <c r="L1" s="338"/>
      <c r="M1" s="1654"/>
      <c r="N1" s="1654"/>
      <c r="O1" s="1654"/>
      <c r="P1" s="1654"/>
      <c r="Q1" s="1654"/>
      <c r="R1" s="340"/>
      <c r="S1" s="340"/>
      <c r="T1" s="340"/>
      <c r="U1" s="340"/>
    </row>
    <row r="2" spans="1:21" ht="15.5" x14ac:dyDescent="0.25">
      <c r="A2" s="331"/>
      <c r="B2" s="903"/>
      <c r="C2" s="740"/>
      <c r="D2" s="740"/>
      <c r="E2" s="740"/>
      <c r="F2" s="740"/>
      <c r="G2" s="803"/>
      <c r="H2" s="469"/>
      <c r="I2" s="470"/>
      <c r="J2" s="345"/>
      <c r="K2" s="337"/>
      <c r="L2" s="338"/>
      <c r="M2" s="339"/>
      <c r="N2" s="339"/>
      <c r="O2" s="339"/>
      <c r="P2" s="339"/>
      <c r="Q2" s="339"/>
      <c r="R2" s="340"/>
      <c r="S2" s="340"/>
      <c r="T2" s="340"/>
      <c r="U2" s="340"/>
    </row>
    <row r="3" spans="1:21" ht="15.5" x14ac:dyDescent="0.25">
      <c r="A3" s="341"/>
      <c r="B3" s="1666" t="s">
        <v>0</v>
      </c>
      <c r="C3" s="1667"/>
      <c r="D3" s="1667"/>
      <c r="E3" s="1667"/>
      <c r="F3" s="1667"/>
      <c r="G3" s="1668"/>
      <c r="H3" s="469"/>
      <c r="I3" s="470"/>
      <c r="J3" s="345"/>
      <c r="K3" s="345"/>
      <c r="L3" s="1658"/>
      <c r="M3" s="1658"/>
      <c r="N3" s="1658"/>
      <c r="O3" s="1658"/>
      <c r="P3" s="1658"/>
      <c r="Q3" s="1658"/>
      <c r="R3" s="346"/>
      <c r="S3" s="346"/>
      <c r="T3" s="346"/>
      <c r="U3" s="346"/>
    </row>
    <row r="4" spans="1:21" ht="15.5" x14ac:dyDescent="0.25">
      <c r="A4" s="347"/>
      <c r="B4" s="1669" t="s">
        <v>390</v>
      </c>
      <c r="C4" s="1670"/>
      <c r="D4" s="1670"/>
      <c r="E4" s="1670"/>
      <c r="F4" s="1670"/>
      <c r="G4" s="1671"/>
      <c r="H4" s="471"/>
      <c r="I4" s="472"/>
      <c r="J4" s="350"/>
      <c r="K4" s="350"/>
      <c r="L4" s="1662"/>
      <c r="M4" s="351"/>
      <c r="N4" s="351"/>
      <c r="O4" s="351"/>
      <c r="P4" s="351"/>
      <c r="Q4" s="351"/>
      <c r="R4" s="346"/>
      <c r="S4" s="346"/>
      <c r="T4" s="346"/>
      <c r="U4" s="347"/>
    </row>
    <row r="5" spans="1:21" ht="15.5" x14ac:dyDescent="0.25">
      <c r="A5" s="347"/>
      <c r="B5" s="1669" t="s">
        <v>391</v>
      </c>
      <c r="C5" s="1670"/>
      <c r="D5" s="1670"/>
      <c r="E5" s="1670"/>
      <c r="F5" s="1670"/>
      <c r="G5" s="1671"/>
      <c r="H5" s="471"/>
      <c r="I5" s="472"/>
      <c r="J5" s="350"/>
      <c r="K5" s="350"/>
      <c r="L5" s="1662"/>
      <c r="M5" s="351"/>
      <c r="N5" s="351"/>
      <c r="O5" s="351"/>
      <c r="P5" s="351"/>
      <c r="Q5" s="351"/>
      <c r="R5" s="346"/>
      <c r="S5" s="346"/>
      <c r="T5" s="346"/>
      <c r="U5" s="347"/>
    </row>
    <row r="6" spans="1:21" ht="15.5" x14ac:dyDescent="0.25">
      <c r="A6" s="341"/>
      <c r="B6" s="1672" t="s">
        <v>618</v>
      </c>
      <c r="C6" s="1673"/>
      <c r="D6" s="1673"/>
      <c r="E6" s="1673"/>
      <c r="F6" s="1673"/>
      <c r="G6" s="1674"/>
      <c r="H6" s="469"/>
      <c r="I6" s="470"/>
      <c r="J6" s="1184"/>
      <c r="K6" s="350"/>
      <c r="L6" s="1662"/>
      <c r="M6" s="353"/>
      <c r="N6" s="353"/>
      <c r="O6" s="345"/>
      <c r="P6" s="345"/>
      <c r="Q6" s="354"/>
      <c r="R6" s="346"/>
      <c r="S6" s="346"/>
      <c r="T6" s="346"/>
      <c r="U6" s="346"/>
    </row>
    <row r="7" spans="1:21" ht="15.5" x14ac:dyDescent="0.35">
      <c r="A7" s="355"/>
      <c r="B7" s="1678" t="s">
        <v>362</v>
      </c>
      <c r="C7" s="1669" t="s">
        <v>363</v>
      </c>
      <c r="D7" s="1671"/>
      <c r="E7" s="1678" t="s">
        <v>364</v>
      </c>
      <c r="F7" s="1678" t="s">
        <v>365</v>
      </c>
      <c r="G7" s="1678" t="s">
        <v>366</v>
      </c>
      <c r="H7" s="473"/>
      <c r="I7" s="474"/>
      <c r="J7" s="1653" t="s">
        <v>367</v>
      </c>
      <c r="K7" s="1169"/>
      <c r="L7" s="1640"/>
      <c r="M7" s="1640"/>
      <c r="N7" s="1640"/>
      <c r="O7" s="1640"/>
      <c r="P7" s="1640"/>
      <c r="Q7" s="1640"/>
      <c r="R7" s="1169"/>
      <c r="S7" s="1169"/>
      <c r="T7" s="1169"/>
      <c r="U7" s="1169"/>
    </row>
    <row r="8" spans="1:21" ht="15.5" x14ac:dyDescent="0.35">
      <c r="A8" s="355"/>
      <c r="B8" s="1678"/>
      <c r="C8" s="1669"/>
      <c r="D8" s="1671"/>
      <c r="E8" s="1678"/>
      <c r="F8" s="1678"/>
      <c r="G8" s="1678"/>
      <c r="H8" s="473"/>
      <c r="I8" s="474"/>
      <c r="J8" s="1649"/>
      <c r="K8" s="1169"/>
      <c r="L8" s="1640"/>
      <c r="M8" s="1640"/>
      <c r="N8" s="1640"/>
      <c r="O8" s="1640"/>
      <c r="P8" s="1640"/>
      <c r="Q8" s="1640"/>
      <c r="R8" s="1169"/>
      <c r="S8" s="1169"/>
      <c r="T8" s="1169"/>
      <c r="U8" s="1169"/>
    </row>
    <row r="9" spans="1:21" ht="15.5" x14ac:dyDescent="0.35">
      <c r="A9" s="355"/>
      <c r="B9" s="1679"/>
      <c r="C9" s="904" t="s">
        <v>368</v>
      </c>
      <c r="D9" s="905" t="s">
        <v>369</v>
      </c>
      <c r="E9" s="1679"/>
      <c r="F9" s="802" t="s">
        <v>370</v>
      </c>
      <c r="G9" s="1679"/>
      <c r="H9" s="478"/>
      <c r="I9" s="479"/>
      <c r="J9" s="1650"/>
      <c r="K9" s="353"/>
      <c r="L9" s="354"/>
      <c r="M9" s="338"/>
      <c r="N9" s="338"/>
      <c r="O9" s="338"/>
      <c r="P9" s="338"/>
      <c r="Q9" s="338"/>
      <c r="R9" s="340"/>
      <c r="S9" s="1169"/>
      <c r="T9" s="1169"/>
      <c r="U9" s="1169"/>
    </row>
    <row r="10" spans="1:21" ht="15.5" x14ac:dyDescent="0.25">
      <c r="A10" s="365"/>
      <c r="B10" s="1702" t="s">
        <v>392</v>
      </c>
      <c r="C10" s="1703"/>
      <c r="D10" s="1703"/>
      <c r="E10" s="1703"/>
      <c r="F10" s="480">
        <v>440352404.60000002</v>
      </c>
      <c r="G10" s="481"/>
      <c r="H10" s="482"/>
      <c r="I10" s="483"/>
      <c r="J10" s="365"/>
      <c r="K10" s="365"/>
      <c r="L10" s="365"/>
      <c r="M10" s="365"/>
      <c r="N10" s="365"/>
      <c r="O10" s="365"/>
      <c r="P10" s="365"/>
      <c r="Q10" s="353"/>
      <c r="R10" s="353"/>
      <c r="S10" s="353"/>
      <c r="T10" s="353"/>
      <c r="U10" s="353"/>
    </row>
    <row r="11" spans="1:21" ht="15.5" x14ac:dyDescent="0.25">
      <c r="A11" s="365"/>
      <c r="B11" s="484" t="s">
        <v>372</v>
      </c>
      <c r="C11" s="906"/>
      <c r="D11" s="906"/>
      <c r="E11" s="906"/>
      <c r="F11" s="480">
        <v>126466093.98999999</v>
      </c>
      <c r="G11" s="481"/>
      <c r="H11" s="482"/>
      <c r="I11" s="483"/>
      <c r="J11" s="365"/>
      <c r="K11" s="365"/>
      <c r="L11" s="365"/>
      <c r="M11" s="365"/>
      <c r="N11" s="365"/>
      <c r="O11" s="365"/>
      <c r="P11" s="365"/>
      <c r="Q11" s="353"/>
      <c r="R11" s="353"/>
      <c r="S11" s="353"/>
      <c r="T11" s="353"/>
      <c r="U11" s="353"/>
    </row>
    <row r="12" spans="1:21" ht="15.5" x14ac:dyDescent="0.25">
      <c r="A12" s="840"/>
      <c r="B12" s="1177">
        <v>150000127255</v>
      </c>
      <c r="C12" s="841">
        <v>44834</v>
      </c>
      <c r="D12" s="842">
        <v>44837</v>
      </c>
      <c r="E12" s="843" t="s">
        <v>562</v>
      </c>
      <c r="F12" s="710">
        <v>117000000</v>
      </c>
      <c r="G12" s="1202">
        <v>1.1000000000000001</v>
      </c>
      <c r="H12" s="493">
        <f>(F12*G12/100)</f>
        <v>1287000</v>
      </c>
      <c r="I12" s="494"/>
      <c r="J12" s="907" t="s">
        <v>375</v>
      </c>
      <c r="K12" s="840"/>
      <c r="L12" s="840"/>
      <c r="M12" s="908"/>
      <c r="N12" s="908"/>
      <c r="O12" s="908"/>
      <c r="P12" s="908"/>
      <c r="Q12" s="909"/>
      <c r="R12" s="909"/>
      <c r="S12" s="909"/>
      <c r="T12" s="909"/>
      <c r="U12" s="909"/>
    </row>
    <row r="13" spans="1:21" ht="15.5" x14ac:dyDescent="0.25">
      <c r="A13" s="910"/>
      <c r="B13" s="1183">
        <v>110000082228</v>
      </c>
      <c r="C13" s="912">
        <v>44760</v>
      </c>
      <c r="D13" s="913">
        <v>44851</v>
      </c>
      <c r="E13" s="912" t="s">
        <v>557</v>
      </c>
      <c r="F13" s="914">
        <v>11671.2</v>
      </c>
      <c r="G13" s="915">
        <v>0.75</v>
      </c>
      <c r="H13" s="493">
        <f t="shared" ref="H13:H39" si="0">F13*G13/100</f>
        <v>87.53</v>
      </c>
      <c r="I13" s="916"/>
      <c r="J13" s="918" t="s">
        <v>375</v>
      </c>
      <c r="K13" s="353" t="s">
        <v>384</v>
      </c>
      <c r="L13" s="910"/>
      <c r="M13" s="919"/>
      <c r="N13" s="919"/>
      <c r="O13" s="919"/>
      <c r="P13" s="919"/>
      <c r="Q13" s="920"/>
      <c r="R13" s="920"/>
      <c r="S13" s="920"/>
      <c r="T13" s="920"/>
      <c r="U13" s="920"/>
    </row>
    <row r="14" spans="1:21" ht="15.5" x14ac:dyDescent="0.25">
      <c r="A14" s="910"/>
      <c r="B14" s="1183">
        <v>110000082237</v>
      </c>
      <c r="C14" s="912">
        <v>44760</v>
      </c>
      <c r="D14" s="913">
        <v>44851</v>
      </c>
      <c r="E14" s="912" t="s">
        <v>557</v>
      </c>
      <c r="F14" s="914">
        <v>10707.24</v>
      </c>
      <c r="G14" s="915">
        <v>0.75</v>
      </c>
      <c r="H14" s="493">
        <f t="shared" si="0"/>
        <v>80.3</v>
      </c>
      <c r="I14" s="916"/>
      <c r="J14" s="918" t="s">
        <v>375</v>
      </c>
      <c r="K14" s="353" t="s">
        <v>384</v>
      </c>
      <c r="L14" s="910"/>
      <c r="M14" s="919"/>
      <c r="N14" s="919"/>
      <c r="O14" s="919"/>
      <c r="P14" s="919"/>
      <c r="Q14" s="920"/>
      <c r="R14" s="920"/>
      <c r="S14" s="920"/>
      <c r="T14" s="920"/>
      <c r="U14" s="920"/>
    </row>
    <row r="15" spans="1:21" ht="15.5" x14ac:dyDescent="0.25">
      <c r="A15" s="910"/>
      <c r="B15" s="1183">
        <v>110000082246</v>
      </c>
      <c r="C15" s="912">
        <v>44760</v>
      </c>
      <c r="D15" s="913">
        <v>44851</v>
      </c>
      <c r="E15" s="912" t="s">
        <v>557</v>
      </c>
      <c r="F15" s="914">
        <v>1663.56</v>
      </c>
      <c r="G15" s="915">
        <v>0.75</v>
      </c>
      <c r="H15" s="493">
        <f t="shared" si="0"/>
        <v>12.48</v>
      </c>
      <c r="I15" s="916"/>
      <c r="J15" s="918" t="s">
        <v>375</v>
      </c>
      <c r="K15" s="353" t="s">
        <v>384</v>
      </c>
      <c r="L15" s="910"/>
      <c r="M15" s="919"/>
      <c r="N15" s="919"/>
      <c r="O15" s="919"/>
      <c r="P15" s="919"/>
      <c r="Q15" s="920"/>
      <c r="R15" s="920"/>
      <c r="S15" s="920"/>
      <c r="T15" s="920"/>
      <c r="U15" s="920"/>
    </row>
    <row r="16" spans="1:21" ht="15.5" x14ac:dyDescent="0.25">
      <c r="A16" s="365"/>
      <c r="B16" s="1171">
        <v>110000013267</v>
      </c>
      <c r="C16" s="516" t="s">
        <v>394</v>
      </c>
      <c r="D16" s="516" t="s">
        <v>395</v>
      </c>
      <c r="E16" s="516" t="s">
        <v>376</v>
      </c>
      <c r="F16" s="521">
        <v>2000000</v>
      </c>
      <c r="G16" s="404">
        <v>2.88</v>
      </c>
      <c r="H16" s="493">
        <f t="shared" si="0"/>
        <v>57600</v>
      </c>
      <c r="I16" s="496"/>
      <c r="J16" s="495" t="s">
        <v>375</v>
      </c>
      <c r="K16" s="405" t="s">
        <v>396</v>
      </c>
      <c r="L16" s="365"/>
      <c r="M16" s="365"/>
      <c r="N16" s="365"/>
      <c r="O16" s="365"/>
      <c r="P16" s="365"/>
      <c r="Q16" s="353"/>
      <c r="R16" s="353"/>
      <c r="S16" s="353"/>
      <c r="T16" s="353"/>
      <c r="U16" s="353"/>
    </row>
    <row r="17" spans="1:21" ht="15.5" x14ac:dyDescent="0.25">
      <c r="A17" s="365"/>
      <c r="B17" s="511">
        <v>110000053315</v>
      </c>
      <c r="C17" s="849">
        <v>42916</v>
      </c>
      <c r="D17" s="849">
        <v>45838</v>
      </c>
      <c r="E17" s="516" t="s">
        <v>383</v>
      </c>
      <c r="F17" s="521">
        <v>2313170.35</v>
      </c>
      <c r="G17" s="502">
        <v>3.25</v>
      </c>
      <c r="H17" s="493">
        <f t="shared" si="0"/>
        <v>75178.039999999994</v>
      </c>
      <c r="I17" s="503"/>
      <c r="J17" s="505" t="s">
        <v>375</v>
      </c>
      <c r="K17" s="365" t="s">
        <v>397</v>
      </c>
      <c r="L17" s="365"/>
      <c r="M17" s="370"/>
      <c r="N17" s="370"/>
      <c r="O17" s="370"/>
      <c r="P17" s="370"/>
      <c r="Q17" s="374"/>
      <c r="R17" s="374"/>
      <c r="S17" s="374"/>
      <c r="T17" s="374"/>
      <c r="U17" s="374"/>
    </row>
    <row r="18" spans="1:21" ht="15.5" x14ac:dyDescent="0.25">
      <c r="A18" s="365"/>
      <c r="B18" s="416">
        <v>110000055015</v>
      </c>
      <c r="C18" s="921">
        <v>42964</v>
      </c>
      <c r="D18" s="921">
        <v>45887</v>
      </c>
      <c r="E18" s="922" t="s">
        <v>383</v>
      </c>
      <c r="F18" s="923">
        <v>3881.64</v>
      </c>
      <c r="G18" s="420">
        <v>3.25</v>
      </c>
      <c r="H18" s="493">
        <f t="shared" si="0"/>
        <v>126.15</v>
      </c>
      <c r="I18" s="506"/>
      <c r="J18" s="398" t="s">
        <v>375</v>
      </c>
      <c r="K18" s="353" t="s">
        <v>384</v>
      </c>
      <c r="L18" s="365"/>
      <c r="M18" s="370"/>
      <c r="N18" s="370"/>
      <c r="O18" s="370"/>
      <c r="P18" s="370"/>
      <c r="Q18" s="374"/>
      <c r="R18" s="374"/>
      <c r="S18" s="374"/>
      <c r="T18" s="374"/>
      <c r="U18" s="374"/>
    </row>
    <row r="19" spans="1:21" ht="15.5" x14ac:dyDescent="0.25">
      <c r="A19" s="365"/>
      <c r="B19" s="1170">
        <v>110000058643</v>
      </c>
      <c r="C19" s="408" t="s">
        <v>398</v>
      </c>
      <c r="D19" s="408" t="s">
        <v>399</v>
      </c>
      <c r="E19" s="408" t="s">
        <v>383</v>
      </c>
      <c r="F19" s="521">
        <v>5125000</v>
      </c>
      <c r="G19" s="404">
        <v>3.3</v>
      </c>
      <c r="H19" s="493">
        <f t="shared" si="0"/>
        <v>169125</v>
      </c>
      <c r="I19" s="496"/>
      <c r="J19" s="505" t="s">
        <v>375</v>
      </c>
      <c r="K19" s="365" t="s">
        <v>400</v>
      </c>
      <c r="L19" s="365"/>
      <c r="M19" s="365"/>
      <c r="N19" s="365"/>
      <c r="O19" s="365"/>
      <c r="P19" s="365"/>
      <c r="Q19" s="353"/>
      <c r="R19" s="353"/>
      <c r="S19" s="353"/>
      <c r="T19" s="353"/>
      <c r="U19" s="353"/>
    </row>
    <row r="20" spans="1:21" ht="15.5" x14ac:dyDescent="0.25">
      <c r="A20" s="365"/>
      <c r="B20" s="1172" t="s">
        <v>401</v>
      </c>
      <c r="C20" s="509"/>
      <c r="D20" s="509"/>
      <c r="E20" s="509"/>
      <c r="F20" s="480">
        <v>244607903.62</v>
      </c>
      <c r="G20" s="367"/>
      <c r="H20" s="851">
        <f>SUM(H12:H19)</f>
        <v>1589209.5</v>
      </c>
      <c r="I20" s="525">
        <f>H20/F11</f>
        <v>1.26E-2</v>
      </c>
      <c r="J20" s="365"/>
      <c r="K20" s="365"/>
      <c r="L20" s="365"/>
      <c r="M20" s="365"/>
      <c r="N20" s="365"/>
      <c r="O20" s="365"/>
      <c r="P20" s="365"/>
      <c r="Q20" s="353"/>
      <c r="R20" s="353"/>
      <c r="S20" s="353"/>
      <c r="T20" s="353"/>
      <c r="U20" s="353"/>
    </row>
    <row r="21" spans="1:21" ht="15.5" x14ac:dyDescent="0.25">
      <c r="A21" s="365"/>
      <c r="B21" s="511" t="s">
        <v>403</v>
      </c>
      <c r="C21" s="849">
        <v>42431</v>
      </c>
      <c r="D21" s="849">
        <v>44986</v>
      </c>
      <c r="E21" s="516" t="s">
        <v>381</v>
      </c>
      <c r="F21" s="521">
        <v>34260698.609999999</v>
      </c>
      <c r="G21" s="404">
        <v>4.8125</v>
      </c>
      <c r="H21" s="493">
        <f t="shared" si="0"/>
        <v>1648796.12</v>
      </c>
      <c r="I21" s="496"/>
      <c r="J21" s="505" t="s">
        <v>375</v>
      </c>
      <c r="K21" s="365"/>
      <c r="L21" s="365"/>
      <c r="M21" s="370"/>
      <c r="N21" s="370"/>
      <c r="O21" s="370"/>
      <c r="P21" s="370"/>
      <c r="Q21" s="374"/>
      <c r="R21" s="374"/>
      <c r="S21" s="374"/>
      <c r="T21" s="374"/>
      <c r="U21" s="374"/>
    </row>
    <row r="22" spans="1:21" ht="15.5" x14ac:dyDescent="0.25">
      <c r="A22" s="365"/>
      <c r="B22" s="511" t="s">
        <v>404</v>
      </c>
      <c r="C22" s="849">
        <v>42599</v>
      </c>
      <c r="D22" s="849">
        <v>45155</v>
      </c>
      <c r="E22" s="516" t="s">
        <v>381</v>
      </c>
      <c r="F22" s="521">
        <v>16344806.85</v>
      </c>
      <c r="G22" s="404">
        <v>4.8</v>
      </c>
      <c r="H22" s="493">
        <f t="shared" si="0"/>
        <v>784550.73</v>
      </c>
      <c r="I22" s="496"/>
      <c r="J22" s="505" t="s">
        <v>375</v>
      </c>
      <c r="K22" s="365"/>
      <c r="L22" s="365"/>
      <c r="M22" s="370"/>
      <c r="N22" s="370"/>
      <c r="O22" s="370"/>
      <c r="P22" s="370"/>
      <c r="Q22" s="374"/>
      <c r="R22" s="374"/>
      <c r="S22" s="374"/>
      <c r="T22" s="374"/>
      <c r="U22" s="374"/>
    </row>
    <row r="23" spans="1:21" ht="15.5" x14ac:dyDescent="0.25">
      <c r="A23" s="365"/>
      <c r="B23" s="511" t="s">
        <v>405</v>
      </c>
      <c r="C23" s="849">
        <v>42250</v>
      </c>
      <c r="D23" s="516">
        <v>45170</v>
      </c>
      <c r="E23" s="516" t="s">
        <v>383</v>
      </c>
      <c r="F23" s="521">
        <v>13021909.07</v>
      </c>
      <c r="G23" s="404">
        <v>4.875</v>
      </c>
      <c r="H23" s="493">
        <f t="shared" si="0"/>
        <v>634818.06999999995</v>
      </c>
      <c r="I23" s="496"/>
      <c r="J23" s="505" t="s">
        <v>375</v>
      </c>
      <c r="K23" s="365"/>
      <c r="L23" s="365"/>
      <c r="M23" s="370"/>
      <c r="N23" s="370"/>
      <c r="O23" s="370"/>
      <c r="P23" s="370"/>
      <c r="Q23" s="374"/>
      <c r="R23" s="374"/>
      <c r="S23" s="374"/>
      <c r="T23" s="374"/>
      <c r="U23" s="374"/>
    </row>
    <row r="24" spans="1:21" ht="15.5" x14ac:dyDescent="0.25">
      <c r="A24" s="365"/>
      <c r="B24" s="511" t="s">
        <v>406</v>
      </c>
      <c r="C24" s="849">
        <v>42277</v>
      </c>
      <c r="D24" s="516">
        <v>45197</v>
      </c>
      <c r="E24" s="516" t="s">
        <v>383</v>
      </c>
      <c r="F24" s="521">
        <v>19695245.920000002</v>
      </c>
      <c r="G24" s="404">
        <v>4.9000000000000004</v>
      </c>
      <c r="H24" s="493">
        <f t="shared" si="0"/>
        <v>965067.05</v>
      </c>
      <c r="I24" s="496"/>
      <c r="J24" s="505" t="s">
        <v>375</v>
      </c>
      <c r="K24" s="365"/>
      <c r="L24" s="365"/>
      <c r="M24" s="370"/>
      <c r="N24" s="370"/>
      <c r="O24" s="370"/>
      <c r="P24" s="370"/>
      <c r="Q24" s="374"/>
      <c r="R24" s="374"/>
      <c r="S24" s="374"/>
      <c r="T24" s="374"/>
      <c r="U24" s="374"/>
    </row>
    <row r="25" spans="1:21" ht="15.5" x14ac:dyDescent="0.25">
      <c r="A25" s="512"/>
      <c r="B25" s="511" t="s">
        <v>407</v>
      </c>
      <c r="C25" s="849">
        <v>43815</v>
      </c>
      <c r="D25" s="516">
        <v>45275</v>
      </c>
      <c r="E25" s="516" t="s">
        <v>408</v>
      </c>
      <c r="F25" s="521">
        <v>25000000</v>
      </c>
      <c r="G25" s="404">
        <v>3.75</v>
      </c>
      <c r="H25" s="493">
        <f t="shared" si="0"/>
        <v>937500</v>
      </c>
      <c r="I25" s="496"/>
      <c r="J25" s="513" t="s">
        <v>375</v>
      </c>
      <c r="K25" s="512" t="s">
        <v>409</v>
      </c>
      <c r="L25" s="512"/>
      <c r="M25" s="514"/>
      <c r="N25" s="514"/>
      <c r="O25" s="514"/>
      <c r="P25" s="514"/>
      <c r="Q25" s="515"/>
      <c r="R25" s="515"/>
      <c r="S25" s="515"/>
      <c r="T25" s="515"/>
      <c r="U25" s="515"/>
    </row>
    <row r="26" spans="1:21" ht="15.5" x14ac:dyDescent="0.25">
      <c r="A26" s="365"/>
      <c r="B26" s="511" t="s">
        <v>410</v>
      </c>
      <c r="C26" s="849">
        <v>43546</v>
      </c>
      <c r="D26" s="849">
        <v>45373</v>
      </c>
      <c r="E26" s="516" t="s">
        <v>376</v>
      </c>
      <c r="F26" s="521">
        <v>15771394.189999999</v>
      </c>
      <c r="G26" s="404">
        <v>4.875</v>
      </c>
      <c r="H26" s="493">
        <f t="shared" si="0"/>
        <v>768855.47</v>
      </c>
      <c r="I26" s="496"/>
      <c r="J26" s="517" t="s">
        <v>375</v>
      </c>
      <c r="K26" s="518" t="s">
        <v>411</v>
      </c>
      <c r="L26" s="365"/>
      <c r="M26" s="365"/>
      <c r="N26" s="365"/>
      <c r="O26" s="365"/>
      <c r="P26" s="365"/>
      <c r="Q26" s="353"/>
      <c r="R26" s="353"/>
      <c r="S26" s="353"/>
      <c r="T26" s="353"/>
      <c r="U26" s="353"/>
    </row>
    <row r="27" spans="1:21" ht="15.5" x14ac:dyDescent="0.25">
      <c r="A27" s="519"/>
      <c r="B27" s="511" t="s">
        <v>412</v>
      </c>
      <c r="C27" s="516" t="s">
        <v>413</v>
      </c>
      <c r="D27" s="516" t="s">
        <v>414</v>
      </c>
      <c r="E27" s="516" t="s">
        <v>379</v>
      </c>
      <c r="F27" s="521">
        <v>45341416.159999996</v>
      </c>
      <c r="G27" s="404">
        <v>4.25</v>
      </c>
      <c r="H27" s="493">
        <f t="shared" si="0"/>
        <v>1927010.19</v>
      </c>
      <c r="I27" s="496"/>
      <c r="J27" s="505" t="s">
        <v>375</v>
      </c>
      <c r="K27" s="365"/>
      <c r="L27" s="337"/>
      <c r="M27" s="365"/>
      <c r="N27" s="365"/>
      <c r="O27" s="365"/>
      <c r="P27" s="365"/>
      <c r="Q27" s="353"/>
      <c r="R27" s="353"/>
      <c r="S27" s="353"/>
      <c r="T27" s="353"/>
      <c r="U27" s="353"/>
    </row>
    <row r="28" spans="1:21" ht="15.5" x14ac:dyDescent="0.25">
      <c r="A28" s="365"/>
      <c r="B28" s="511" t="s">
        <v>415</v>
      </c>
      <c r="C28" s="849">
        <v>43318</v>
      </c>
      <c r="D28" s="849">
        <v>45509</v>
      </c>
      <c r="E28" s="516" t="s">
        <v>379</v>
      </c>
      <c r="F28" s="521">
        <v>1500000</v>
      </c>
      <c r="G28" s="404">
        <v>4.875</v>
      </c>
      <c r="H28" s="493">
        <f t="shared" si="0"/>
        <v>73125</v>
      </c>
      <c r="I28" s="496"/>
      <c r="J28" s="505" t="s">
        <v>375</v>
      </c>
      <c r="K28" s="365"/>
      <c r="L28" s="365"/>
      <c r="M28" s="365"/>
      <c r="N28" s="365"/>
      <c r="O28" s="365"/>
      <c r="P28" s="365"/>
      <c r="Q28" s="353"/>
      <c r="R28" s="353"/>
      <c r="S28" s="353"/>
      <c r="T28" s="353"/>
      <c r="U28" s="353"/>
    </row>
    <row r="29" spans="1:21" ht="15.5" x14ac:dyDescent="0.25">
      <c r="A29" s="520"/>
      <c r="B29" s="511" t="s">
        <v>416</v>
      </c>
      <c r="C29" s="849">
        <v>43340</v>
      </c>
      <c r="D29" s="849">
        <v>45530</v>
      </c>
      <c r="E29" s="516" t="s">
        <v>379</v>
      </c>
      <c r="F29" s="521">
        <v>16766916.210000001</v>
      </c>
      <c r="G29" s="412">
        <v>4.875</v>
      </c>
      <c r="H29" s="493">
        <f t="shared" si="0"/>
        <v>817387.17</v>
      </c>
      <c r="I29" s="522"/>
      <c r="J29" s="505" t="s">
        <v>375</v>
      </c>
      <c r="K29" s="365"/>
      <c r="L29" s="520"/>
      <c r="M29" s="520"/>
      <c r="N29" s="520"/>
      <c r="O29" s="520"/>
      <c r="P29" s="524"/>
      <c r="Q29" s="524"/>
      <c r="R29" s="524"/>
      <c r="S29" s="524"/>
      <c r="T29" s="524"/>
      <c r="U29" s="520"/>
    </row>
    <row r="30" spans="1:21" ht="15.5" x14ac:dyDescent="0.25">
      <c r="A30" s="365"/>
      <c r="B30" s="511" t="s">
        <v>417</v>
      </c>
      <c r="C30" s="849">
        <v>43017</v>
      </c>
      <c r="D30" s="516">
        <v>45574</v>
      </c>
      <c r="E30" s="516" t="s">
        <v>381</v>
      </c>
      <c r="F30" s="521">
        <v>4861764.57</v>
      </c>
      <c r="G30" s="404">
        <v>4.5</v>
      </c>
      <c r="H30" s="493">
        <f t="shared" si="0"/>
        <v>218779.41</v>
      </c>
      <c r="I30" s="496"/>
      <c r="J30" s="505" t="s">
        <v>375</v>
      </c>
      <c r="K30" s="365"/>
      <c r="L30" s="365"/>
      <c r="M30" s="370"/>
      <c r="N30" s="370"/>
      <c r="O30" s="370"/>
      <c r="P30" s="370"/>
      <c r="Q30" s="374"/>
      <c r="R30" s="374"/>
      <c r="S30" s="374"/>
      <c r="T30" s="374"/>
      <c r="U30" s="374"/>
    </row>
    <row r="31" spans="1:21" ht="15.5" x14ac:dyDescent="0.25">
      <c r="A31" s="512"/>
      <c r="B31" s="511" t="s">
        <v>418</v>
      </c>
      <c r="C31" s="849">
        <v>43815</v>
      </c>
      <c r="D31" s="516">
        <v>45642</v>
      </c>
      <c r="E31" s="516" t="s">
        <v>376</v>
      </c>
      <c r="F31" s="521">
        <v>2855756.38</v>
      </c>
      <c r="G31" s="404">
        <v>4</v>
      </c>
      <c r="H31" s="493">
        <f t="shared" si="0"/>
        <v>114230.26</v>
      </c>
      <c r="I31" s="496"/>
      <c r="J31" s="513" t="s">
        <v>375</v>
      </c>
      <c r="K31" s="512" t="s">
        <v>409</v>
      </c>
      <c r="L31" s="512"/>
      <c r="M31" s="514"/>
      <c r="N31" s="514"/>
      <c r="O31" s="514"/>
      <c r="P31" s="514"/>
      <c r="Q31" s="515"/>
      <c r="R31" s="515"/>
      <c r="S31" s="515"/>
      <c r="T31" s="515"/>
      <c r="U31" s="515"/>
    </row>
    <row r="32" spans="1:21" ht="15.5" x14ac:dyDescent="0.25">
      <c r="A32" s="365"/>
      <c r="B32" s="511" t="s">
        <v>419</v>
      </c>
      <c r="C32" s="849">
        <v>43511</v>
      </c>
      <c r="D32" s="516">
        <v>45702</v>
      </c>
      <c r="E32" s="516" t="s">
        <v>379</v>
      </c>
      <c r="F32" s="521">
        <v>37459445.329999998</v>
      </c>
      <c r="G32" s="404">
        <v>5</v>
      </c>
      <c r="H32" s="493">
        <f t="shared" si="0"/>
        <v>1872972.27</v>
      </c>
      <c r="I32" s="496"/>
      <c r="J32" s="505" t="s">
        <v>375</v>
      </c>
      <c r="K32" s="365" t="s">
        <v>420</v>
      </c>
      <c r="L32" s="365"/>
      <c r="M32" s="370"/>
      <c r="N32" s="370"/>
      <c r="O32" s="370"/>
      <c r="P32" s="370"/>
      <c r="Q32" s="374"/>
      <c r="R32" s="374"/>
      <c r="S32" s="374"/>
      <c r="T32" s="374"/>
      <c r="U32" s="374"/>
    </row>
    <row r="33" spans="1:21" ht="15.5" x14ac:dyDescent="0.25">
      <c r="A33" s="365"/>
      <c r="B33" s="511" t="s">
        <v>421</v>
      </c>
      <c r="C33" s="849">
        <v>43403</v>
      </c>
      <c r="D33" s="516">
        <v>45960</v>
      </c>
      <c r="E33" s="516" t="s">
        <v>381</v>
      </c>
      <c r="F33" s="521">
        <v>11728550.33</v>
      </c>
      <c r="G33" s="404">
        <v>5</v>
      </c>
      <c r="H33" s="493">
        <f t="shared" si="0"/>
        <v>586427.52</v>
      </c>
      <c r="I33" s="496"/>
      <c r="J33" s="505" t="s">
        <v>375</v>
      </c>
      <c r="K33" s="365"/>
      <c r="L33" s="365"/>
      <c r="M33" s="370"/>
      <c r="N33" s="370"/>
      <c r="O33" s="370"/>
      <c r="P33" s="370"/>
      <c r="Q33" s="374"/>
      <c r="R33" s="374"/>
      <c r="S33" s="374"/>
      <c r="T33" s="374"/>
      <c r="U33" s="374"/>
    </row>
    <row r="34" spans="1:21" ht="15.5" x14ac:dyDescent="0.25">
      <c r="A34" s="365"/>
      <c r="B34" s="1172" t="s">
        <v>422</v>
      </c>
      <c r="C34" s="509"/>
      <c r="D34" s="509"/>
      <c r="E34" s="509"/>
      <c r="F34" s="480">
        <v>20000000</v>
      </c>
      <c r="G34" s="367"/>
      <c r="H34" s="851">
        <f>SUM(H21:H33)</f>
        <v>11349519.26</v>
      </c>
      <c r="I34" s="852">
        <f>H34/F20</f>
        <v>4.6399999999999997E-2</v>
      </c>
      <c r="J34" s="365"/>
      <c r="K34" s="365"/>
      <c r="L34" s="365"/>
      <c r="M34" s="365"/>
      <c r="N34" s="365"/>
      <c r="O34" s="365"/>
      <c r="P34" s="365"/>
      <c r="Q34" s="353"/>
      <c r="R34" s="353"/>
      <c r="S34" s="353"/>
      <c r="T34" s="353"/>
      <c r="U34" s="353"/>
    </row>
    <row r="35" spans="1:21" ht="15.5" x14ac:dyDescent="0.25">
      <c r="A35" s="365"/>
      <c r="B35" s="1170">
        <v>258903543</v>
      </c>
      <c r="C35" s="401">
        <v>42278</v>
      </c>
      <c r="D35" s="407">
        <v>44837</v>
      </c>
      <c r="E35" s="402" t="s">
        <v>381</v>
      </c>
      <c r="F35" s="403">
        <v>20000000</v>
      </c>
      <c r="G35" s="404">
        <v>5.5</v>
      </c>
      <c r="H35" s="493">
        <f t="shared" si="0"/>
        <v>1100000</v>
      </c>
      <c r="I35" s="496"/>
      <c r="J35" s="505" t="s">
        <v>375</v>
      </c>
      <c r="K35" s="365"/>
      <c r="L35" s="365"/>
      <c r="M35" s="365"/>
      <c r="N35" s="365"/>
      <c r="O35" s="365"/>
      <c r="P35" s="365"/>
      <c r="Q35" s="353"/>
      <c r="R35" s="353"/>
      <c r="S35" s="353"/>
      <c r="T35" s="353"/>
      <c r="U35" s="353"/>
    </row>
    <row r="36" spans="1:21" ht="15.5" x14ac:dyDescent="0.25">
      <c r="A36" s="365"/>
      <c r="B36" s="1176" t="s">
        <v>423</v>
      </c>
      <c r="C36" s="528"/>
      <c r="D36" s="528"/>
      <c r="E36" s="528"/>
      <c r="F36" s="366">
        <v>24278406.989999998</v>
      </c>
      <c r="G36" s="367"/>
      <c r="H36" s="493">
        <f t="shared" si="0"/>
        <v>0</v>
      </c>
      <c r="I36" s="525"/>
      <c r="J36" s="365"/>
      <c r="K36" s="365"/>
      <c r="L36" s="365"/>
      <c r="M36" s="365"/>
      <c r="N36" s="365"/>
      <c r="O36" s="365"/>
      <c r="P36" s="365"/>
      <c r="Q36" s="353"/>
      <c r="R36" s="353"/>
      <c r="S36" s="353"/>
      <c r="T36" s="353"/>
      <c r="U36" s="353"/>
    </row>
    <row r="37" spans="1:21" ht="15.5" x14ac:dyDescent="0.25">
      <c r="A37" s="519"/>
      <c r="B37" s="1170">
        <v>50401687976</v>
      </c>
      <c r="C37" s="401">
        <v>42333</v>
      </c>
      <c r="D37" s="407">
        <v>45253</v>
      </c>
      <c r="E37" s="402" t="s">
        <v>383</v>
      </c>
      <c r="F37" s="403">
        <v>24278406.989999998</v>
      </c>
      <c r="G37" s="404">
        <v>5.4</v>
      </c>
      <c r="H37" s="493">
        <f t="shared" si="0"/>
        <v>1311033.98</v>
      </c>
      <c r="I37" s="496"/>
      <c r="J37" s="505" t="s">
        <v>375</v>
      </c>
      <c r="K37" s="365"/>
      <c r="L37" s="365"/>
      <c r="M37" s="365"/>
      <c r="N37" s="365"/>
      <c r="O37" s="365"/>
      <c r="P37" s="365"/>
      <c r="Q37" s="353"/>
      <c r="R37" s="353"/>
      <c r="S37" s="353"/>
      <c r="T37" s="353"/>
      <c r="U37" s="353"/>
    </row>
    <row r="38" spans="1:21" ht="15.5" x14ac:dyDescent="0.25">
      <c r="A38" s="365"/>
      <c r="B38" s="1176" t="s">
        <v>424</v>
      </c>
      <c r="C38" s="528"/>
      <c r="D38" s="528"/>
      <c r="E38" s="528"/>
      <c r="F38" s="366">
        <v>25000000</v>
      </c>
      <c r="G38" s="369"/>
      <c r="H38" s="493">
        <f t="shared" si="0"/>
        <v>0</v>
      </c>
      <c r="I38" s="525"/>
      <c r="J38" s="365"/>
      <c r="K38" s="365"/>
      <c r="L38" s="365"/>
      <c r="M38" s="365"/>
      <c r="N38" s="365"/>
      <c r="O38" s="365"/>
      <c r="P38" s="365"/>
      <c r="Q38" s="353"/>
      <c r="R38" s="353"/>
      <c r="S38" s="353"/>
      <c r="T38" s="353"/>
      <c r="U38" s="353"/>
    </row>
    <row r="39" spans="1:21" ht="15.5" x14ac:dyDescent="0.25">
      <c r="A39" s="365"/>
      <c r="B39" s="1170">
        <v>202121699</v>
      </c>
      <c r="C39" s="401">
        <v>42356</v>
      </c>
      <c r="D39" s="407">
        <v>45278</v>
      </c>
      <c r="E39" s="402" t="s">
        <v>376</v>
      </c>
      <c r="F39" s="403">
        <v>25000000</v>
      </c>
      <c r="G39" s="404">
        <v>5</v>
      </c>
      <c r="H39" s="493">
        <f t="shared" si="0"/>
        <v>1250000</v>
      </c>
      <c r="I39" s="496"/>
      <c r="J39" s="505" t="s">
        <v>375</v>
      </c>
      <c r="K39" s="365"/>
      <c r="L39" s="365"/>
      <c r="M39" s="365"/>
      <c r="N39" s="365"/>
      <c r="O39" s="365"/>
      <c r="P39" s="365"/>
      <c r="Q39" s="353"/>
      <c r="R39" s="353"/>
      <c r="S39" s="353"/>
      <c r="T39" s="353"/>
      <c r="U39" s="353"/>
    </row>
    <row r="40" spans="1:21" ht="15.5" x14ac:dyDescent="0.25">
      <c r="A40" s="365"/>
      <c r="B40" s="1179"/>
      <c r="C40" s="1178"/>
      <c r="D40" s="1178"/>
      <c r="E40" s="1178"/>
      <c r="F40" s="1178"/>
      <c r="G40" s="1180"/>
      <c r="H40" s="1185">
        <f>SUM(H35:H39)</f>
        <v>3661033.98</v>
      </c>
      <c r="I40" s="1186">
        <f>H40/SUM(F34+F36+F38)</f>
        <v>5.28E-2</v>
      </c>
      <c r="J40" s="1178"/>
      <c r="K40" s="365"/>
      <c r="L40" s="365"/>
      <c r="M40" s="365"/>
      <c r="N40" s="365"/>
      <c r="O40" s="365"/>
      <c r="P40" s="365"/>
      <c r="Q40" s="353"/>
      <c r="R40" s="353"/>
      <c r="S40" s="353"/>
      <c r="T40" s="353"/>
      <c r="U40" s="353"/>
    </row>
    <row r="41" spans="1:21" ht="15.5" x14ac:dyDescent="0.25">
      <c r="A41" s="365"/>
      <c r="B41" s="1179"/>
      <c r="C41" s="1178"/>
      <c r="D41" s="1178"/>
      <c r="E41" s="1178"/>
      <c r="F41" s="1178"/>
      <c r="G41" s="1181"/>
      <c r="H41" s="1185"/>
      <c r="I41" s="1186"/>
      <c r="J41" s="1178"/>
      <c r="K41" s="365"/>
      <c r="L41" s="365"/>
      <c r="M41" s="365"/>
      <c r="N41" s="365"/>
      <c r="O41" s="365"/>
      <c r="P41" s="365"/>
      <c r="Q41" s="353"/>
      <c r="R41" s="353"/>
      <c r="S41" s="353"/>
      <c r="T41" s="353"/>
      <c r="U41" s="353"/>
    </row>
    <row r="42" spans="1:21" ht="14" x14ac:dyDescent="0.25">
      <c r="A42" s="839"/>
      <c r="B42" s="1182"/>
      <c r="C42" s="931"/>
      <c r="D42" s="932"/>
      <c r="E42" s="932"/>
      <c r="F42" s="933"/>
      <c r="G42" s="934"/>
      <c r="H42" s="935">
        <f>F34+F36+F38</f>
        <v>69278406.989999995</v>
      </c>
      <c r="I42" s="936"/>
      <c r="J42" s="839"/>
      <c r="K42" s="839"/>
      <c r="L42" s="839"/>
      <c r="M42" s="839"/>
      <c r="N42" s="839"/>
      <c r="O42" s="839"/>
      <c r="P42" s="839"/>
      <c r="Q42" s="838"/>
      <c r="R42" s="838"/>
      <c r="S42" s="838"/>
      <c r="T42" s="838"/>
      <c r="U42" s="838"/>
    </row>
    <row r="43" spans="1:21" ht="14" x14ac:dyDescent="0.3">
      <c r="A43" s="937"/>
      <c r="B43" s="938" t="s">
        <v>514</v>
      </c>
      <c r="C43" s="939"/>
      <c r="D43" s="939"/>
      <c r="E43" s="939"/>
      <c r="F43" s="939"/>
      <c r="G43" s="940"/>
      <c r="H43" s="941"/>
      <c r="I43" s="942"/>
      <c r="J43" s="943"/>
      <c r="K43" s="943"/>
      <c r="L43" s="943"/>
      <c r="M43" s="937"/>
      <c r="N43" s="937"/>
      <c r="O43" s="937"/>
      <c r="P43" s="937"/>
      <c r="Q43" s="944"/>
      <c r="R43" s="944"/>
      <c r="S43" s="944"/>
      <c r="T43" s="944"/>
      <c r="U43" s="944"/>
    </row>
    <row r="44" spans="1:21" ht="14" x14ac:dyDescent="0.3">
      <c r="A44" s="937"/>
      <c r="B44" s="945">
        <v>44839</v>
      </c>
      <c r="C44" s="946"/>
      <c r="D44" s="946"/>
      <c r="E44" s="946"/>
      <c r="F44" s="946"/>
      <c r="G44" s="947"/>
      <c r="H44" s="948"/>
      <c r="I44" s="949"/>
      <c r="J44" s="839"/>
      <c r="K44" s="891"/>
      <c r="L44" s="891"/>
      <c r="M44" s="937"/>
      <c r="N44" s="937"/>
      <c r="O44" s="937"/>
      <c r="P44" s="937"/>
      <c r="Q44" s="944"/>
      <c r="R44" s="944"/>
      <c r="S44" s="944"/>
      <c r="T44" s="944"/>
      <c r="U44" s="944"/>
    </row>
    <row r="45" spans="1:21" ht="14" x14ac:dyDescent="0.3">
      <c r="A45" s="937"/>
      <c r="B45" s="945"/>
      <c r="C45" s="946"/>
      <c r="D45" s="946"/>
      <c r="E45" s="946"/>
      <c r="F45" s="946"/>
      <c r="G45" s="947"/>
      <c r="H45" s="948"/>
      <c r="I45" s="949"/>
      <c r="J45" s="839"/>
      <c r="K45" s="891"/>
      <c r="L45" s="891"/>
      <c r="M45" s="937"/>
      <c r="N45" s="937"/>
      <c r="O45" s="937"/>
      <c r="P45" s="937"/>
      <c r="Q45" s="944"/>
      <c r="R45" s="944"/>
      <c r="S45" s="944"/>
      <c r="T45" s="944"/>
      <c r="U45" s="944"/>
    </row>
    <row r="46" spans="1:21" ht="14" x14ac:dyDescent="0.3">
      <c r="A46" s="937"/>
      <c r="B46" s="950" t="s">
        <v>515</v>
      </c>
      <c r="C46" s="951"/>
      <c r="D46" s="1704" t="s">
        <v>547</v>
      </c>
      <c r="E46" s="1704"/>
      <c r="F46" s="1704"/>
      <c r="G46" s="1705"/>
      <c r="H46" s="952"/>
      <c r="I46" s="953"/>
      <c r="J46" s="839"/>
      <c r="K46" s="891"/>
      <c r="L46" s="891"/>
      <c r="M46" s="937"/>
      <c r="N46" s="937"/>
      <c r="O46" s="937"/>
      <c r="P46" s="937"/>
      <c r="Q46" s="944"/>
      <c r="R46" s="944"/>
      <c r="S46" s="944"/>
      <c r="T46" s="944"/>
      <c r="U46" s="944"/>
    </row>
    <row r="47" spans="1:21" ht="14" x14ac:dyDescent="0.3">
      <c r="A47" s="937"/>
      <c r="B47" s="1706" t="s">
        <v>573</v>
      </c>
      <c r="C47" s="1704"/>
      <c r="D47" s="1704" t="s">
        <v>620</v>
      </c>
      <c r="E47" s="1704"/>
      <c r="F47" s="1704"/>
      <c r="G47" s="1705"/>
      <c r="H47" s="952"/>
      <c r="I47" s="953"/>
      <c r="J47" s="839"/>
      <c r="K47" s="891"/>
      <c r="L47" s="891"/>
      <c r="M47" s="937"/>
      <c r="N47" s="937"/>
      <c r="O47" s="937"/>
      <c r="P47" s="937"/>
      <c r="Q47" s="944"/>
      <c r="R47" s="944"/>
      <c r="S47" s="944"/>
      <c r="T47" s="944"/>
      <c r="U47" s="944"/>
    </row>
    <row r="48" spans="1:21" ht="14" x14ac:dyDescent="0.3">
      <c r="A48" s="937"/>
      <c r="B48" s="1699" t="s">
        <v>621</v>
      </c>
      <c r="C48" s="1700"/>
      <c r="D48" s="1700" t="s">
        <v>517</v>
      </c>
      <c r="E48" s="1700"/>
      <c r="F48" s="1700"/>
      <c r="G48" s="1701"/>
      <c r="H48" s="952"/>
      <c r="I48" s="953"/>
      <c r="J48" s="839"/>
      <c r="K48" s="891"/>
      <c r="L48" s="891"/>
      <c r="M48" s="937"/>
      <c r="N48" s="937"/>
      <c r="O48" s="937"/>
      <c r="P48" s="937"/>
      <c r="Q48" s="944"/>
      <c r="R48" s="944"/>
      <c r="S48" s="944"/>
      <c r="T48" s="944"/>
      <c r="U48" s="944"/>
    </row>
    <row r="49" spans="2:21" ht="14" x14ac:dyDescent="0.3">
      <c r="B49" s="951"/>
      <c r="C49" s="951"/>
      <c r="D49" s="951"/>
      <c r="E49" s="951"/>
      <c r="F49" s="951"/>
      <c r="G49" s="954"/>
      <c r="H49" s="952"/>
      <c r="I49" s="953"/>
      <c r="J49" s="839"/>
      <c r="K49" s="891"/>
      <c r="L49" s="891"/>
      <c r="M49" s="937"/>
      <c r="N49" s="937"/>
      <c r="O49" s="937"/>
      <c r="P49" s="937"/>
      <c r="Q49" s="944"/>
      <c r="R49" s="944"/>
      <c r="S49" s="944"/>
      <c r="T49" s="944"/>
      <c r="U49" s="944"/>
    </row>
  </sheetData>
  <mergeCells count="20">
    <mergeCell ref="M1:Q1"/>
    <mergeCell ref="B3:G3"/>
    <mergeCell ref="L3:Q3"/>
    <mergeCell ref="B4:G4"/>
    <mergeCell ref="L4:L6"/>
    <mergeCell ref="B6:G6"/>
    <mergeCell ref="B5:G5"/>
    <mergeCell ref="D46:G46"/>
    <mergeCell ref="D47:G47"/>
    <mergeCell ref="D48:G48"/>
    <mergeCell ref="B47:C47"/>
    <mergeCell ref="B48:C48"/>
    <mergeCell ref="F7:F8"/>
    <mergeCell ref="L7:Q8"/>
    <mergeCell ref="G7:G9"/>
    <mergeCell ref="B10:E10"/>
    <mergeCell ref="B7:B9"/>
    <mergeCell ref="C7:D8"/>
    <mergeCell ref="E7:E9"/>
    <mergeCell ref="J7:J9"/>
  </mergeCells>
  <pageMargins left="0.7" right="0.7" top="0.75" bottom="0.75" header="0.3" footer="0.3"/>
  <pageSetup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P64"/>
  <sheetViews>
    <sheetView workbookViewId="0">
      <selection activeCell="K40" sqref="K40"/>
    </sheetView>
  </sheetViews>
  <sheetFormatPr baseColWidth="10" defaultRowHeight="12.5" x14ac:dyDescent="0.25"/>
  <cols>
    <col min="3" max="3" width="18.1796875" customWidth="1"/>
    <col min="4" max="4" width="20.54296875" customWidth="1"/>
    <col min="5" max="5" width="6.453125" customWidth="1"/>
    <col min="6" max="6" width="6.26953125" customWidth="1"/>
    <col min="7" max="7" width="13.7265625" bestFit="1" customWidth="1"/>
    <col min="11" max="11" width="17.1796875" customWidth="1"/>
    <col min="15" max="15" width="17.26953125" customWidth="1"/>
    <col min="16" max="16" width="21.26953125" customWidth="1"/>
  </cols>
  <sheetData>
    <row r="1" spans="1:16" x14ac:dyDescent="0.25">
      <c r="A1" t="s">
        <v>630</v>
      </c>
    </row>
    <row r="8" spans="1:16" x14ac:dyDescent="0.25">
      <c r="J8" t="s">
        <v>633</v>
      </c>
    </row>
    <row r="9" spans="1:16" ht="14.5" x14ac:dyDescent="0.35">
      <c r="J9" s="1191" t="s">
        <v>627</v>
      </c>
      <c r="K9" s="1191" t="s">
        <v>628</v>
      </c>
      <c r="L9" s="1191"/>
      <c r="M9" s="1191"/>
      <c r="N9" s="1191"/>
      <c r="O9" s="1191"/>
      <c r="P9" s="1191"/>
    </row>
    <row r="10" spans="1:16" ht="15.5" x14ac:dyDescent="0.35">
      <c r="J10" s="1193">
        <v>893.77</v>
      </c>
      <c r="K10" s="1193">
        <v>742716299.98000002</v>
      </c>
      <c r="L10" s="1191"/>
      <c r="M10" s="1191"/>
      <c r="N10" s="1191"/>
      <c r="O10" s="1191"/>
      <c r="P10" s="1191"/>
    </row>
    <row r="11" spans="1:16" ht="16" thickBot="1" x14ac:dyDescent="0.4">
      <c r="J11" s="1192">
        <v>0</v>
      </c>
      <c r="K11" s="1192">
        <v>0</v>
      </c>
      <c r="L11" s="1195"/>
      <c r="M11" s="1191"/>
      <c r="N11" s="1191"/>
      <c r="O11" s="1191"/>
      <c r="P11" s="1191"/>
    </row>
    <row r="12" spans="1:16" ht="16" thickBot="1" x14ac:dyDescent="0.4">
      <c r="J12" s="1192">
        <v>737.09</v>
      </c>
      <c r="K12" s="1194">
        <v>586031727.98000002</v>
      </c>
      <c r="L12" s="1190">
        <v>151.05900000000008</v>
      </c>
      <c r="M12" s="1191" t="s">
        <v>387</v>
      </c>
      <c r="N12" s="1191"/>
      <c r="O12" s="1191"/>
      <c r="P12" s="1191"/>
    </row>
    <row r="13" spans="1:16" ht="15.5" x14ac:dyDescent="0.35">
      <c r="J13" s="1192">
        <v>120.75</v>
      </c>
      <c r="K13" s="1192">
        <v>120755317.83</v>
      </c>
      <c r="L13" s="1195">
        <v>0</v>
      </c>
      <c r="M13" s="1191"/>
      <c r="N13" s="1191"/>
      <c r="O13" s="1191"/>
      <c r="P13" s="1191"/>
    </row>
    <row r="14" spans="1:16" ht="15.5" x14ac:dyDescent="0.35">
      <c r="J14" s="1192">
        <v>23.97</v>
      </c>
      <c r="K14" s="1192">
        <v>23974008.25</v>
      </c>
      <c r="L14" s="1195">
        <v>0</v>
      </c>
      <c r="M14" s="1191"/>
      <c r="N14" s="1191"/>
      <c r="O14" s="1191"/>
      <c r="P14" s="1191"/>
    </row>
    <row r="15" spans="1:16" ht="15.5" x14ac:dyDescent="0.35">
      <c r="J15" s="1192">
        <v>11.96</v>
      </c>
      <c r="K15" s="1192">
        <v>11955245.92</v>
      </c>
      <c r="L15" s="1195">
        <v>0</v>
      </c>
      <c r="M15" s="1191"/>
      <c r="N15" s="1191"/>
      <c r="O15" s="1191"/>
      <c r="P15" s="1191" t="s">
        <v>629</v>
      </c>
    </row>
    <row r="16" spans="1:16" ht="15.5" x14ac:dyDescent="0.35">
      <c r="J16" s="1192">
        <v>0</v>
      </c>
      <c r="K16" s="1192">
        <v>0</v>
      </c>
      <c r="L16" s="1195"/>
      <c r="M16" s="1191"/>
      <c r="N16" s="1191"/>
      <c r="O16" s="1196">
        <v>136967726.88</v>
      </c>
      <c r="P16" s="1199">
        <v>151057367.09999999</v>
      </c>
    </row>
    <row r="17" spans="3:16" ht="15.5" x14ac:dyDescent="0.25">
      <c r="O17" s="1197">
        <v>13990991.4</v>
      </c>
      <c r="P17" s="1198">
        <v>15425068.02</v>
      </c>
    </row>
    <row r="18" spans="3:16" ht="15.5" x14ac:dyDescent="0.25">
      <c r="O18" s="1197">
        <v>17900000</v>
      </c>
      <c r="P18" s="1198">
        <v>19734750</v>
      </c>
    </row>
    <row r="19" spans="3:16" ht="15.5" x14ac:dyDescent="0.25">
      <c r="O19" s="1197">
        <v>67580.460000000006</v>
      </c>
      <c r="P19" s="1198">
        <v>74169.56</v>
      </c>
    </row>
    <row r="20" spans="3:16" ht="15.5" x14ac:dyDescent="0.25">
      <c r="O20" s="1197">
        <v>6806000</v>
      </c>
      <c r="P20" s="1198">
        <v>7664709</v>
      </c>
    </row>
    <row r="21" spans="3:16" ht="15.5" x14ac:dyDescent="0.25">
      <c r="O21" s="1197">
        <v>5200000</v>
      </c>
      <c r="P21" s="1198">
        <v>5855200</v>
      </c>
    </row>
    <row r="22" spans="3:16" ht="15.5" x14ac:dyDescent="0.25">
      <c r="O22" s="1197">
        <v>93003155.019999996</v>
      </c>
      <c r="P22" s="1198">
        <v>102303470.52</v>
      </c>
    </row>
    <row r="26" spans="3:16" x14ac:dyDescent="0.25">
      <c r="C26" t="s">
        <v>631</v>
      </c>
      <c r="D26" t="s">
        <v>634</v>
      </c>
    </row>
    <row r="27" spans="3:16" ht="15.5" x14ac:dyDescent="0.25">
      <c r="C27" s="789">
        <v>3593.37</v>
      </c>
      <c r="D27" s="789">
        <v>3757254117.9299998</v>
      </c>
    </row>
    <row r="28" spans="3:16" ht="16" thickBot="1" x14ac:dyDescent="0.3">
      <c r="C28" s="583">
        <v>68.290000000000006</v>
      </c>
      <c r="D28" s="583">
        <v>123670900</v>
      </c>
      <c r="E28" t="s">
        <v>387</v>
      </c>
      <c r="F28">
        <f>123.67-68.29</f>
        <v>55.38</v>
      </c>
      <c r="G28" s="3" t="s">
        <v>632</v>
      </c>
      <c r="H28" t="s">
        <v>632</v>
      </c>
    </row>
    <row r="29" spans="3:16" ht="16" thickBot="1" x14ac:dyDescent="0.3">
      <c r="C29" s="583">
        <v>1493.89</v>
      </c>
      <c r="D29" s="1163">
        <v>1590118536.1300001</v>
      </c>
      <c r="F29">
        <f>1590.118-1493.89</f>
        <v>96.227999999999795</v>
      </c>
      <c r="G29" s="3" t="s">
        <v>18</v>
      </c>
    </row>
    <row r="30" spans="3:16" ht="15.5" x14ac:dyDescent="0.25">
      <c r="C30" s="583">
        <v>524.5</v>
      </c>
      <c r="D30" s="583">
        <v>524495759.31</v>
      </c>
      <c r="E30" t="s">
        <v>387</v>
      </c>
      <c r="G30" t="s">
        <v>18</v>
      </c>
    </row>
    <row r="31" spans="3:16" ht="15.5" x14ac:dyDescent="0.25">
      <c r="C31" s="583">
        <v>1116.8599999999999</v>
      </c>
      <c r="D31" s="583">
        <v>1129131446.5</v>
      </c>
      <c r="E31" t="s">
        <v>387</v>
      </c>
      <c r="F31">
        <f>1129.13-1116.86</f>
        <v>12.2700000000002</v>
      </c>
      <c r="G31" s="3" t="s">
        <v>635</v>
      </c>
      <c r="H31" t="s">
        <v>18</v>
      </c>
      <c r="I31" t="s">
        <v>18</v>
      </c>
      <c r="J31" t="s">
        <v>18</v>
      </c>
    </row>
    <row r="32" spans="3:16" ht="15.5" x14ac:dyDescent="0.25">
      <c r="C32" s="583">
        <v>189.83</v>
      </c>
      <c r="D32" s="583">
        <v>189837475.99000001</v>
      </c>
      <c r="E32" t="s">
        <v>387</v>
      </c>
      <c r="G32" t="s">
        <v>18</v>
      </c>
    </row>
    <row r="33" spans="3:7" ht="15.5" x14ac:dyDescent="0.25">
      <c r="C33" s="583">
        <v>200</v>
      </c>
      <c r="D33" s="583">
        <v>200000000</v>
      </c>
      <c r="E33" t="s">
        <v>387</v>
      </c>
      <c r="G33" t="s">
        <v>18</v>
      </c>
    </row>
    <row r="38" spans="3:7" ht="15.5" x14ac:dyDescent="0.25">
      <c r="C38" s="1119">
        <v>307241182.12</v>
      </c>
      <c r="D38" s="1119">
        <v>339056289.10000002</v>
      </c>
      <c r="E38" s="3"/>
      <c r="F38" s="3"/>
      <c r="G38" t="s">
        <v>636</v>
      </c>
    </row>
    <row r="39" spans="3:7" ht="15.5" x14ac:dyDescent="0.25">
      <c r="C39" s="246">
        <v>36033396.060000002</v>
      </c>
      <c r="D39" s="247">
        <v>39726819.149999999</v>
      </c>
      <c r="E39" s="3"/>
      <c r="F39" s="3"/>
      <c r="G39" s="3">
        <f>(D38+D51+D61+D64)/1000000</f>
        <v>457.57</v>
      </c>
    </row>
    <row r="40" spans="3:7" ht="15.5" x14ac:dyDescent="0.25">
      <c r="C40" s="246">
        <v>8485315.1400000006</v>
      </c>
      <c r="D40" s="247">
        <v>9312633.3599999994</v>
      </c>
      <c r="G40" s="3" t="e">
        <f>#REF!+#REF!</f>
        <v>#REF!</v>
      </c>
    </row>
    <row r="41" spans="3:7" ht="15.5" x14ac:dyDescent="0.25">
      <c r="C41" s="246">
        <v>6444181.2400000002</v>
      </c>
      <c r="D41" s="247">
        <v>7056378.4500000002</v>
      </c>
      <c r="G41" s="3" t="e">
        <f>G40-G39</f>
        <v>#REF!</v>
      </c>
    </row>
    <row r="42" spans="3:7" ht="15.5" x14ac:dyDescent="0.25">
      <c r="C42" s="246">
        <v>35283709.280000001</v>
      </c>
      <c r="D42" s="247">
        <v>39288410.280000001</v>
      </c>
      <c r="G42" s="3" t="e">
        <f>F29-G41</f>
        <v>#REF!</v>
      </c>
    </row>
    <row r="43" spans="3:7" x14ac:dyDescent="0.25">
      <c r="C43">
        <v>4828644.8600000003</v>
      </c>
      <c r="D43">
        <v>5342895.54</v>
      </c>
    </row>
    <row r="44" spans="3:7" x14ac:dyDescent="0.25">
      <c r="C44">
        <v>33373000</v>
      </c>
      <c r="D44">
        <v>37370373.5</v>
      </c>
    </row>
    <row r="45" spans="3:7" x14ac:dyDescent="0.25">
      <c r="C45">
        <v>19266094.890000001</v>
      </c>
      <c r="D45">
        <v>21674356.75</v>
      </c>
    </row>
    <row r="46" spans="3:7" x14ac:dyDescent="0.25">
      <c r="C46">
        <v>113873840.65000001</v>
      </c>
      <c r="D46">
        <v>125261224.72</v>
      </c>
    </row>
    <row r="47" spans="3:7" x14ac:dyDescent="0.25">
      <c r="C47">
        <v>4892000</v>
      </c>
      <c r="D47">
        <v>5314668.8</v>
      </c>
    </row>
    <row r="48" spans="3:7" x14ac:dyDescent="0.25">
      <c r="C48">
        <v>44761000</v>
      </c>
      <c r="D48">
        <v>48708528.549999997</v>
      </c>
    </row>
    <row r="51" spans="3:6" ht="13" x14ac:dyDescent="0.3">
      <c r="C51" s="12">
        <v>107138398.01000001</v>
      </c>
      <c r="D51" s="12">
        <v>118128615.59</v>
      </c>
      <c r="E51" s="3">
        <f>(D38+D51+D61)/1000000</f>
        <v>457.54</v>
      </c>
    </row>
    <row r="52" spans="3:6" x14ac:dyDescent="0.25">
      <c r="C52" s="3">
        <v>10275612.539999999</v>
      </c>
      <c r="D52" s="3">
        <v>11328862.83</v>
      </c>
      <c r="E52" s="3">
        <f>E39</f>
        <v>0</v>
      </c>
    </row>
    <row r="53" spans="3:6" x14ac:dyDescent="0.25">
      <c r="C53" s="3">
        <v>45411.41</v>
      </c>
      <c r="D53" s="3">
        <v>49839.02</v>
      </c>
      <c r="E53" s="3"/>
      <c r="F53" s="3"/>
    </row>
    <row r="54" spans="3:6" x14ac:dyDescent="0.25">
      <c r="C54" s="3">
        <v>3190818.76</v>
      </c>
      <c r="D54" s="3">
        <v>3493946.55</v>
      </c>
    </row>
    <row r="55" spans="3:6" x14ac:dyDescent="0.25">
      <c r="C55" s="3">
        <v>14716290.720000001</v>
      </c>
      <c r="D55" s="3">
        <v>16386589.720000001</v>
      </c>
    </row>
    <row r="56" spans="3:6" x14ac:dyDescent="0.25">
      <c r="C56" s="3">
        <v>4421355.1399999997</v>
      </c>
      <c r="D56" s="3">
        <v>4892229.46</v>
      </c>
    </row>
    <row r="57" spans="3:6" x14ac:dyDescent="0.25">
      <c r="C57" s="3">
        <v>5633905.1100000003</v>
      </c>
      <c r="D57" s="3">
        <v>6338143.25</v>
      </c>
    </row>
    <row r="58" spans="3:6" x14ac:dyDescent="0.25">
      <c r="C58" s="3">
        <v>61855004.329999998</v>
      </c>
      <c r="D58" s="3">
        <v>68040504.760000005</v>
      </c>
    </row>
    <row r="59" spans="3:6" x14ac:dyDescent="0.25">
      <c r="C59" s="3">
        <v>7000000</v>
      </c>
      <c r="D59" s="3">
        <v>7598500</v>
      </c>
    </row>
    <row r="60" spans="3:6" x14ac:dyDescent="0.25">
      <c r="C60" s="3"/>
      <c r="D60" s="3"/>
    </row>
    <row r="61" spans="3:6" ht="13" x14ac:dyDescent="0.3">
      <c r="C61" s="1189">
        <v>322137.44</v>
      </c>
      <c r="D61" s="1189">
        <v>353545.84</v>
      </c>
    </row>
    <row r="62" spans="3:6" x14ac:dyDescent="0.25">
      <c r="C62">
        <v>322137.44</v>
      </c>
      <c r="D62">
        <v>353545.84</v>
      </c>
    </row>
    <row r="64" spans="3:6" x14ac:dyDescent="0.25">
      <c r="C64">
        <v>24555.55</v>
      </c>
      <c r="D64">
        <v>26949.72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39997558519241921"/>
    <pageSetUpPr fitToPage="1"/>
  </sheetPr>
  <dimension ref="B1:AL50"/>
  <sheetViews>
    <sheetView showGridLines="0" zoomScale="130" zoomScaleNormal="130" workbookViewId="0">
      <selection activeCell="B4" sqref="B4:L4"/>
    </sheetView>
  </sheetViews>
  <sheetFormatPr baseColWidth="10" defaultColWidth="11.453125" defaultRowHeight="13" x14ac:dyDescent="0.25"/>
  <cols>
    <col min="1" max="1" width="3.453125" style="30" customWidth="1"/>
    <col min="2" max="2" width="38.54296875" style="30" customWidth="1"/>
    <col min="3" max="3" width="0.81640625" style="30" customWidth="1"/>
    <col min="4" max="4" width="15.7265625" style="31" hidden="1" customWidth="1"/>
    <col min="5" max="5" width="9.26953125" style="193" hidden="1" customWidth="1"/>
    <col min="6" max="6" width="1" style="30" hidden="1" customWidth="1"/>
    <col min="7" max="7" width="15.7265625" style="30" hidden="1" customWidth="1"/>
    <col min="8" max="9" width="7.7265625" style="185" hidden="1" customWidth="1"/>
    <col min="10" max="10" width="15.7265625" style="30" customWidth="1"/>
    <col min="11" max="12" width="7.7265625" style="185" customWidth="1"/>
    <col min="13" max="13" width="15.7265625" style="30" hidden="1" customWidth="1"/>
    <col min="14" max="15" width="7.7265625" style="185" hidden="1" customWidth="1"/>
    <col min="16" max="16" width="15.7265625" style="30" hidden="1" customWidth="1"/>
    <col min="17" max="18" width="7.7265625" style="185" hidden="1" customWidth="1"/>
    <col min="19" max="19" width="15.7265625" style="30" hidden="1" customWidth="1"/>
    <col min="20" max="21" width="7.7265625" style="185" hidden="1" customWidth="1"/>
    <col min="22" max="22" width="15.7265625" style="1465" hidden="1" customWidth="1"/>
    <col min="23" max="24" width="7.7265625" style="185" hidden="1" customWidth="1"/>
    <col min="25" max="25" width="15.7265625" style="30" hidden="1" customWidth="1"/>
    <col min="26" max="27" width="7.7265625" style="185" hidden="1" customWidth="1"/>
    <col min="28" max="28" width="15.7265625" style="30" hidden="1" customWidth="1"/>
    <col min="29" max="30" width="7.7265625" style="185" hidden="1" customWidth="1"/>
    <col min="31" max="31" width="15.7265625" style="30" hidden="1" customWidth="1"/>
    <col min="32" max="33" width="7.7265625" style="185" hidden="1" customWidth="1"/>
    <col min="34" max="34" width="15.7265625" style="30" hidden="1" customWidth="1"/>
    <col min="35" max="35" width="7.7265625" style="185" hidden="1" customWidth="1"/>
    <col min="36" max="36" width="7.7265625" style="30" hidden="1" customWidth="1"/>
    <col min="37" max="16384" width="11.453125" style="30"/>
  </cols>
  <sheetData>
    <row r="1" spans="2:36" ht="15.5" x14ac:dyDescent="0.25">
      <c r="B1" s="137"/>
      <c r="C1" s="138"/>
      <c r="D1" s="138"/>
      <c r="E1" s="182"/>
      <c r="F1" s="138"/>
      <c r="G1" s="138"/>
      <c r="H1" s="182"/>
      <c r="I1" s="182"/>
      <c r="J1" s="138"/>
      <c r="K1" s="182"/>
      <c r="L1" s="182"/>
      <c r="M1" s="138"/>
      <c r="N1" s="182"/>
      <c r="O1" s="182"/>
      <c r="P1" s="138"/>
      <c r="Q1" s="182"/>
      <c r="R1" s="182"/>
      <c r="S1" s="138"/>
      <c r="T1" s="182"/>
      <c r="U1" s="182"/>
      <c r="V1" s="1457"/>
      <c r="W1" s="182"/>
      <c r="X1" s="182"/>
      <c r="Y1" s="138"/>
      <c r="Z1" s="182"/>
      <c r="AA1" s="182"/>
      <c r="AB1" s="138"/>
      <c r="AC1" s="182"/>
      <c r="AD1" s="182"/>
      <c r="AE1" s="138"/>
      <c r="AF1" s="182"/>
      <c r="AG1" s="182"/>
      <c r="AH1" s="138"/>
      <c r="AI1" s="182"/>
    </row>
    <row r="2" spans="2:36" ht="21" customHeight="1" x14ac:dyDescent="0.25">
      <c r="B2" s="1605" t="s">
        <v>0</v>
      </c>
      <c r="C2" s="1605"/>
      <c r="D2" s="1605"/>
      <c r="E2" s="1605"/>
      <c r="F2" s="1605"/>
      <c r="G2" s="1605"/>
      <c r="H2" s="1605"/>
      <c r="I2" s="1605"/>
      <c r="J2" s="1605"/>
      <c r="K2" s="1605"/>
      <c r="L2" s="1605"/>
      <c r="M2" s="1566"/>
      <c r="N2" s="1566"/>
      <c r="O2" s="1566"/>
      <c r="P2" s="1566"/>
      <c r="Q2" s="1566"/>
      <c r="R2" s="1566"/>
      <c r="S2" s="1566"/>
      <c r="T2" s="1566"/>
      <c r="U2" s="1566"/>
      <c r="V2" s="1566"/>
      <c r="W2" s="1566"/>
      <c r="X2" s="1566"/>
      <c r="Y2" s="1566"/>
      <c r="Z2" s="1566"/>
      <c r="AA2" s="1566"/>
      <c r="AB2" s="1566"/>
      <c r="AC2" s="1566"/>
      <c r="AD2" s="1566"/>
      <c r="AE2" s="1566"/>
      <c r="AF2" s="1566"/>
      <c r="AG2" s="1566"/>
      <c r="AH2" s="1566"/>
      <c r="AI2" s="1566"/>
      <c r="AJ2" s="1566"/>
    </row>
    <row r="3" spans="2:36" ht="21" customHeight="1" x14ac:dyDescent="0.25">
      <c r="B3" s="1605" t="s">
        <v>1</v>
      </c>
      <c r="C3" s="1605"/>
      <c r="D3" s="1605"/>
      <c r="E3" s="1605"/>
      <c r="F3" s="1605"/>
      <c r="G3" s="1605"/>
      <c r="H3" s="1605"/>
      <c r="I3" s="1605"/>
      <c r="J3" s="1605"/>
      <c r="K3" s="1605"/>
      <c r="L3" s="1605"/>
      <c r="M3" s="1566"/>
      <c r="N3" s="1566"/>
      <c r="O3" s="1566"/>
      <c r="P3" s="1566"/>
      <c r="Q3" s="1566"/>
      <c r="R3" s="1566"/>
      <c r="S3" s="1566"/>
      <c r="T3" s="1566"/>
      <c r="U3" s="1566"/>
      <c r="V3" s="1566"/>
      <c r="W3" s="1566"/>
      <c r="X3" s="1566"/>
      <c r="Y3" s="1566"/>
      <c r="Z3" s="1566"/>
      <c r="AA3" s="1566"/>
      <c r="AB3" s="1566"/>
      <c r="AC3" s="1566"/>
      <c r="AD3" s="1566"/>
      <c r="AE3" s="1566"/>
      <c r="AF3" s="1566"/>
      <c r="AG3" s="1566"/>
      <c r="AH3" s="1566"/>
      <c r="AI3" s="1566"/>
      <c r="AJ3" s="1566"/>
    </row>
    <row r="4" spans="2:36" ht="71.25" customHeight="1" x14ac:dyDescent="0.25">
      <c r="B4" s="1606" t="s">
        <v>771</v>
      </c>
      <c r="C4" s="1606"/>
      <c r="D4" s="1606"/>
      <c r="E4" s="1606"/>
      <c r="F4" s="1606"/>
      <c r="G4" s="1606"/>
      <c r="H4" s="1606"/>
      <c r="I4" s="1606"/>
      <c r="J4" s="1606"/>
      <c r="K4" s="1606"/>
      <c r="L4" s="1606"/>
      <c r="M4" s="1566"/>
      <c r="N4" s="1566"/>
      <c r="O4" s="1566"/>
      <c r="P4" s="1566"/>
      <c r="Q4" s="1566"/>
      <c r="R4" s="1566"/>
      <c r="S4" s="1566"/>
      <c r="T4" s="1566"/>
      <c r="U4" s="1566"/>
      <c r="V4" s="1566"/>
      <c r="W4" s="1566"/>
      <c r="X4" s="1566"/>
      <c r="Y4" s="1566"/>
      <c r="Z4" s="1566"/>
      <c r="AA4" s="1566"/>
      <c r="AB4" s="1566"/>
      <c r="AC4" s="1566"/>
      <c r="AD4" s="1566"/>
      <c r="AE4" s="1566"/>
      <c r="AF4" s="1566"/>
      <c r="AG4" s="1566"/>
      <c r="AH4" s="1566"/>
      <c r="AI4" s="1566"/>
      <c r="AJ4" s="1566"/>
    </row>
    <row r="5" spans="2:36" ht="21" customHeight="1" x14ac:dyDescent="0.25">
      <c r="B5" s="1605" t="s">
        <v>732</v>
      </c>
      <c r="C5" s="1605"/>
      <c r="D5" s="1605"/>
      <c r="E5" s="1605"/>
      <c r="F5" s="1605"/>
      <c r="G5" s="1605"/>
      <c r="H5" s="1605"/>
      <c r="I5" s="1605"/>
      <c r="J5" s="1605"/>
      <c r="K5" s="1605"/>
      <c r="L5" s="1605"/>
      <c r="M5" s="1566"/>
      <c r="N5" s="1566"/>
      <c r="O5" s="1566"/>
      <c r="P5" s="1566"/>
      <c r="Q5" s="1566"/>
      <c r="R5" s="1566"/>
      <c r="S5" s="1566"/>
      <c r="T5" s="1566"/>
      <c r="U5" s="1566"/>
      <c r="V5" s="1566"/>
      <c r="W5" s="1566"/>
      <c r="X5" s="1566"/>
      <c r="Y5" s="1566"/>
      <c r="Z5" s="1566"/>
      <c r="AA5" s="1566"/>
      <c r="AB5" s="1566"/>
      <c r="AC5" s="1566"/>
      <c r="AD5" s="1566"/>
      <c r="AE5" s="1566"/>
      <c r="AF5" s="1566"/>
      <c r="AG5" s="1566"/>
      <c r="AH5" s="1566"/>
      <c r="AI5" s="1566"/>
      <c r="AJ5" s="1566"/>
    </row>
    <row r="6" spans="2:36" ht="21" customHeight="1" x14ac:dyDescent="0.25">
      <c r="B6" s="1605" t="s">
        <v>4</v>
      </c>
      <c r="C6" s="1605"/>
      <c r="D6" s="1605"/>
      <c r="E6" s="1605"/>
      <c r="F6" s="1605"/>
      <c r="G6" s="1605"/>
      <c r="H6" s="1605"/>
      <c r="I6" s="1605"/>
      <c r="J6" s="1605"/>
      <c r="K6" s="1605"/>
      <c r="L6" s="1605"/>
      <c r="M6" s="1566"/>
      <c r="N6" s="1566"/>
      <c r="O6" s="1566"/>
      <c r="P6" s="1566"/>
      <c r="Q6" s="1566"/>
      <c r="R6" s="1566"/>
      <c r="S6" s="1566"/>
      <c r="T6" s="1566"/>
      <c r="U6" s="1566"/>
      <c r="V6" s="1566"/>
      <c r="W6" s="1566"/>
      <c r="X6" s="1566"/>
      <c r="Y6" s="1566"/>
      <c r="Z6" s="1566"/>
      <c r="AA6" s="1566"/>
      <c r="AB6" s="1566"/>
      <c r="AC6" s="1566"/>
      <c r="AD6" s="1566"/>
      <c r="AE6" s="1566"/>
      <c r="AF6" s="1566"/>
      <c r="AG6" s="1566"/>
      <c r="AH6" s="1566"/>
      <c r="AI6" s="1566"/>
      <c r="AJ6" s="1566"/>
    </row>
    <row r="7" spans="2:36" s="151" customFormat="1" ht="34.5" customHeight="1" x14ac:dyDescent="0.25">
      <c r="B7" s="1598" t="s">
        <v>767</v>
      </c>
      <c r="C7" s="1485"/>
      <c r="D7" s="1598" t="s">
        <v>741</v>
      </c>
      <c r="E7" s="1600" t="s">
        <v>742</v>
      </c>
      <c r="F7" s="1485"/>
      <c r="G7" s="1602" t="s">
        <v>760</v>
      </c>
      <c r="H7" s="1603"/>
      <c r="I7" s="1604"/>
      <c r="J7" s="1602" t="s">
        <v>76</v>
      </c>
      <c r="K7" s="1603"/>
      <c r="L7" s="1604"/>
      <c r="M7" s="1597" t="s">
        <v>60</v>
      </c>
      <c r="N7" s="1597"/>
      <c r="O7" s="1597"/>
      <c r="P7" s="1597" t="s">
        <v>738</v>
      </c>
      <c r="Q7" s="1597"/>
      <c r="R7" s="1597"/>
      <c r="S7" s="1597" t="s">
        <v>739</v>
      </c>
      <c r="T7" s="1597"/>
      <c r="U7" s="1597"/>
      <c r="V7" s="1597" t="s">
        <v>736</v>
      </c>
      <c r="W7" s="1597"/>
      <c r="X7" s="1597"/>
      <c r="Y7" s="1597" t="s">
        <v>737</v>
      </c>
      <c r="Z7" s="1597"/>
      <c r="AA7" s="1597"/>
      <c r="AB7" s="1597" t="s">
        <v>63</v>
      </c>
      <c r="AC7" s="1597"/>
      <c r="AD7" s="1597"/>
      <c r="AE7" s="1597" t="s">
        <v>64</v>
      </c>
      <c r="AF7" s="1597"/>
      <c r="AG7" s="1597"/>
      <c r="AH7" s="1597" t="s">
        <v>735</v>
      </c>
      <c r="AI7" s="1597"/>
      <c r="AJ7" s="1597"/>
    </row>
    <row r="8" spans="2:36" s="14" customFormat="1" ht="34.5" customHeight="1" x14ac:dyDescent="0.25">
      <c r="B8" s="1599"/>
      <c r="C8" s="1487"/>
      <c r="D8" s="1599"/>
      <c r="E8" s="1601"/>
      <c r="F8" s="1487"/>
      <c r="G8" s="1488" t="s">
        <v>733</v>
      </c>
      <c r="H8" s="1489" t="s">
        <v>734</v>
      </c>
      <c r="I8" s="1490" t="s">
        <v>740</v>
      </c>
      <c r="J8" s="1491" t="s">
        <v>733</v>
      </c>
      <c r="K8" s="1491" t="s">
        <v>734</v>
      </c>
      <c r="L8" s="1491" t="s">
        <v>740</v>
      </c>
      <c r="M8" s="1492" t="s">
        <v>733</v>
      </c>
      <c r="N8" s="1493" t="s">
        <v>734</v>
      </c>
      <c r="O8" s="1493" t="s">
        <v>740</v>
      </c>
      <c r="P8" s="1492" t="s">
        <v>733</v>
      </c>
      <c r="Q8" s="1493" t="s">
        <v>734</v>
      </c>
      <c r="R8" s="1493" t="s">
        <v>740</v>
      </c>
      <c r="S8" s="1492" t="s">
        <v>733</v>
      </c>
      <c r="T8" s="1493" t="s">
        <v>734</v>
      </c>
      <c r="U8" s="1493" t="s">
        <v>740</v>
      </c>
      <c r="V8" s="1492" t="s">
        <v>733</v>
      </c>
      <c r="W8" s="1493" t="s">
        <v>734</v>
      </c>
      <c r="X8" s="1493" t="s">
        <v>740</v>
      </c>
      <c r="Y8" s="1492" t="s">
        <v>733</v>
      </c>
      <c r="Z8" s="1493" t="s">
        <v>734</v>
      </c>
      <c r="AA8" s="1489" t="s">
        <v>740</v>
      </c>
      <c r="AB8" s="1486" t="s">
        <v>733</v>
      </c>
      <c r="AC8" s="1520" t="s">
        <v>734</v>
      </c>
      <c r="AD8" s="1522" t="s">
        <v>740</v>
      </c>
      <c r="AE8" s="1521" t="s">
        <v>733</v>
      </c>
      <c r="AF8" s="1493" t="s">
        <v>734</v>
      </c>
      <c r="AG8" s="1493" t="s">
        <v>740</v>
      </c>
      <c r="AH8" s="1492" t="s">
        <v>733</v>
      </c>
      <c r="AI8" s="1489" t="s">
        <v>734</v>
      </c>
      <c r="AJ8" s="1522" t="s">
        <v>740</v>
      </c>
    </row>
    <row r="9" spans="2:36" s="14" customFormat="1" ht="6" customHeight="1" x14ac:dyDescent="0.25">
      <c r="B9" s="1494"/>
      <c r="C9" s="1494"/>
      <c r="D9" s="1495"/>
      <c r="E9" s="1496"/>
      <c r="F9" s="1494"/>
      <c r="G9" s="1494"/>
      <c r="H9" s="1497"/>
      <c r="I9" s="1494"/>
      <c r="J9" s="1494"/>
      <c r="K9" s="1494"/>
      <c r="L9" s="1494"/>
      <c r="M9" s="1494"/>
      <c r="N9" s="1494"/>
      <c r="O9" s="1494"/>
      <c r="P9" s="1494"/>
      <c r="Q9" s="1494"/>
      <c r="R9" s="1494"/>
      <c r="S9" s="1494"/>
      <c r="T9" s="1494"/>
      <c r="U9" s="1494"/>
      <c r="V9" s="1498"/>
      <c r="W9" s="1494"/>
      <c r="X9" s="1494"/>
      <c r="Y9" s="1494"/>
      <c r="Z9" s="1494"/>
      <c r="AA9" s="1494"/>
      <c r="AB9" s="1494"/>
      <c r="AC9" s="1494"/>
      <c r="AD9" s="1494"/>
      <c r="AE9" s="1494"/>
      <c r="AF9" s="1494"/>
      <c r="AG9" s="1494"/>
      <c r="AH9" s="1494"/>
      <c r="AI9" s="1494"/>
      <c r="AJ9" s="1494"/>
    </row>
    <row r="10" spans="2:36" s="1499" customFormat="1" ht="24" customHeight="1" x14ac:dyDescent="0.25">
      <c r="B10" s="1524" t="s">
        <v>17</v>
      </c>
      <c r="C10" s="1525"/>
      <c r="D10" s="1526">
        <f>G10+AB10+AE10+AH10</f>
        <v>11059579210.6</v>
      </c>
      <c r="E10" s="1527">
        <f>((G10*H10)+(AB10*AC10)+(AE10*AF10)+(AH10*AI10))/D10</f>
        <v>4.65E-2</v>
      </c>
      <c r="F10" s="1525"/>
      <c r="G10" s="1528">
        <f>G12+G16+G24+G26+G33</f>
        <v>9084776454.4500008</v>
      </c>
      <c r="H10" s="1529">
        <f>((G12*H12)+(G16*H16)+(G24*H24)+(G26*H26)+(G33*H33))/G10</f>
        <v>4.7100000000000003E-2</v>
      </c>
      <c r="I10" s="1530">
        <f>(($J$12*I12)+($J$16*I16)+($J$24*I24)+($J$26*I26)+($J$33*I33))/$J10</f>
        <v>6.15</v>
      </c>
      <c r="J10" s="1528">
        <f>J12+J16+J24+J26+J33</f>
        <v>548856782.88999999</v>
      </c>
      <c r="K10" s="1529">
        <f>(($J$12*K12)+($J$16*K16)+($J$24*K24)+($J$26*K26)+($J$33*K33))/$J10</f>
        <v>3.5200000000000002E-2</v>
      </c>
      <c r="L10" s="1530">
        <f>(($J$12*L12)+($J$16*L16)+($J$24*L24)+($J$26*L26)+($J$33*L33))/$J10</f>
        <v>2.2000000000000002</v>
      </c>
      <c r="M10" s="1528">
        <f>M12+M16+M24+M26+M33</f>
        <v>8535919671.5600004</v>
      </c>
      <c r="N10" s="1529">
        <f>((M12*N12)+(M16*N16)+(M24*N24)+(M26*N26)+(M33*N33))/M10</f>
        <v>4.7899999999999998E-2</v>
      </c>
      <c r="O10" s="1530">
        <f>(($M$12*O12)+($M$16*O16)+($M$24*O24)+($M$26*O26)+($M$33*O33))/$M10</f>
        <v>10.35</v>
      </c>
      <c r="P10" s="1528">
        <f>P12+P16+P24+P26+P33</f>
        <v>2910389428.27</v>
      </c>
      <c r="Q10" s="1531">
        <f>((P12*Q12)+(P16*Q16)+(P24*Q24)+(P26*Q26)+(P33*Q33))/P10</f>
        <v>4.9399999999999999E-2</v>
      </c>
      <c r="R10" s="1530">
        <f>(($P$12*R12)+($P$16*R16)+($P$24*R24)+($P$26*R26)+($P$33*R33))/$P10</f>
        <v>10.87</v>
      </c>
      <c r="S10" s="1528">
        <f>S12+S16+S24+S26+S33</f>
        <v>5414285592.8199997</v>
      </c>
      <c r="T10" s="1529">
        <f>((S12*T12)+(S16*T16)+(S24*T24)+(S26*T26)+(S33*T33))/S10</f>
        <v>4.7E-2</v>
      </c>
      <c r="U10" s="1530">
        <f>(($S$12*U12)+($S$16*U16)+($S$24*U24)+($S$26*U26)+($S$33*U33))/$S10</f>
        <v>10.25</v>
      </c>
      <c r="V10" s="1528">
        <f>V12+V16+V24+V26+V33</f>
        <v>197711916.50999999</v>
      </c>
      <c r="W10" s="1529">
        <f>((V12*W12)+(V16*W16)+(V24*W24)+(V26*W26)+(V33*W33))/V10</f>
        <v>5.0799999999999998E-2</v>
      </c>
      <c r="X10" s="1530">
        <f>(($V$12*X12)+($V$16*X16)+($V$24*X24)+($V$26*X26)+($V$33*X33))/$V10</f>
        <v>5.73</v>
      </c>
      <c r="Y10" s="1528">
        <f>Y12+Y16+Y24+Y26+Y33</f>
        <v>13532733.960000001</v>
      </c>
      <c r="Z10" s="1529">
        <f>((Y12*Z12)+(Y16*Z16)+(Y24*Z24)+(Y26*Z26)+(Y33*Z33))/Y10</f>
        <v>4.58E-2</v>
      </c>
      <c r="AA10" s="1530">
        <f>(($Y$12*AA12)+($Y$16*AA16)+($Y$24*AA24)+($Y$26*AA26)+($Y$33*AA33))/$Y10</f>
        <v>7.19</v>
      </c>
      <c r="AB10" s="1528">
        <f>AB12+AB16+AB24+AB26+AB33</f>
        <v>111459363.29000001</v>
      </c>
      <c r="AC10" s="1529">
        <f>((AB12*AC12)+(AB16*AC16)+(AB24*AC24)+(AB26*AC26)+(AB33*AC33))/AB10</f>
        <v>4.1500000000000002E-2</v>
      </c>
      <c r="AD10" s="1530">
        <f>(($AB$12*AD12)+($AB$16*AD16)+($AB$24*AD24)+($AB$26*AD26)+($AB$33*AD33))/$AB10</f>
        <v>3.8</v>
      </c>
      <c r="AE10" s="1528">
        <f>AE12+AE16+AE24+AE26+AE33</f>
        <v>1128798677.9100001</v>
      </c>
      <c r="AF10" s="1529">
        <f>((AE12*AF12)+(AE16*AF16)+(AE24*AF24)+(AE26*AF26)+(AE33*AF33))/AE10</f>
        <v>3.8899999999999997E-2</v>
      </c>
      <c r="AG10" s="1530">
        <f>(($AE$12*AG12)+($AE$16*AG16)+($AE$24*AG24)+($AE$26*AG26)+($AE$33*AG33))/$AE10</f>
        <v>1.01</v>
      </c>
      <c r="AH10" s="1528">
        <f>AH12+AH16+AH24+AH26+AH33</f>
        <v>734544714.95000005</v>
      </c>
      <c r="AI10" s="1529">
        <f>((AH12*AI12)+(AH16*AI16)+(AH24*AI24)+(AH26*AI26)+(AH33*AI33))/AH10</f>
        <v>5.0999999999999997E-2</v>
      </c>
      <c r="AJ10" s="1530">
        <f>(($AH$12*AJ12)+($AH$16*AJ16)+($AH$24*AJ24)+($AH$26*AJ26)+($AH$33*AJ33))/$AH10</f>
        <v>1.21</v>
      </c>
    </row>
    <row r="11" spans="2:36" s="14" customFormat="1" ht="6" customHeight="1" x14ac:dyDescent="0.25">
      <c r="B11" s="1532"/>
      <c r="C11" s="1532"/>
      <c r="D11" s="1533"/>
      <c r="E11" s="1534"/>
      <c r="F11" s="1532"/>
      <c r="G11" s="1532"/>
      <c r="H11" s="1535"/>
      <c r="I11" s="1535"/>
      <c r="J11" s="1532"/>
      <c r="K11" s="1535"/>
      <c r="L11" s="1535"/>
      <c r="M11" s="1532"/>
      <c r="N11" s="1535"/>
      <c r="O11" s="1535"/>
      <c r="P11" s="1535"/>
      <c r="Q11" s="1536"/>
      <c r="R11" s="1535"/>
      <c r="S11" s="1532"/>
      <c r="T11" s="1535"/>
      <c r="U11" s="1535"/>
      <c r="V11" s="1537"/>
      <c r="W11" s="1535"/>
      <c r="X11" s="1535"/>
      <c r="Y11" s="1532"/>
      <c r="Z11" s="1535"/>
      <c r="AA11" s="1535"/>
      <c r="AB11" s="1532"/>
      <c r="AC11" s="1535"/>
      <c r="AD11" s="1535"/>
      <c r="AE11" s="1532"/>
      <c r="AF11" s="1535"/>
      <c r="AG11" s="1535"/>
      <c r="AH11" s="1532"/>
      <c r="AI11" s="1535"/>
      <c r="AJ11" s="1535"/>
    </row>
    <row r="12" spans="2:36" s="147" customFormat="1" ht="31.5" customHeight="1" x14ac:dyDescent="0.25">
      <c r="B12" s="1565" t="s">
        <v>762</v>
      </c>
      <c r="C12" s="1500"/>
      <c r="D12" s="1538">
        <f>SUM(D13:D14)</f>
        <v>6646104389.3699999</v>
      </c>
      <c r="E12" s="1539">
        <f>((D13*E13)+(D14*E14))/D12</f>
        <v>4.58E-2</v>
      </c>
      <c r="F12" s="1500"/>
      <c r="G12" s="1538">
        <f>SUM(G13:G14)</f>
        <v>4784578598.8299999</v>
      </c>
      <c r="H12" s="1540">
        <f>((G13*H13)+(G14*H14))/G12</f>
        <v>4.7E-2</v>
      </c>
      <c r="I12" s="1541">
        <f>((G13*I13)+(G14*I14))/G12</f>
        <v>5.43</v>
      </c>
      <c r="J12" s="1538">
        <f t="shared" ref="J12:S12" si="0">SUM(J13:J14)</f>
        <v>512927528.72000003</v>
      </c>
      <c r="K12" s="1540">
        <f>((J13*K13)+(J14*K14))/J12</f>
        <v>3.49E-2</v>
      </c>
      <c r="L12" s="1541">
        <f>((J13*L13)+(J14*L14))/J12</f>
        <v>1.03</v>
      </c>
      <c r="M12" s="1538">
        <f>SUM(M13:M14)</f>
        <v>4271651070.1100001</v>
      </c>
      <c r="N12" s="1540">
        <f>((M13*N13)+(M14*N14))/M12</f>
        <v>4.8500000000000001E-2</v>
      </c>
      <c r="O12" s="1541">
        <f>((M13*O13)+(M14*O14))/M12</f>
        <v>5.97</v>
      </c>
      <c r="P12" s="1541">
        <f t="shared" si="0"/>
        <v>1517758102.45</v>
      </c>
      <c r="Q12" s="1540">
        <f>((P13*Q13)+(P14*Q14))/P12</f>
        <v>5.0299999999999997E-2</v>
      </c>
      <c r="R12" s="1541">
        <f>((P13*R13)+(P14*R14))/P12</f>
        <v>6.37</v>
      </c>
      <c r="S12" s="1538">
        <f t="shared" si="0"/>
        <v>2635470165.5999999</v>
      </c>
      <c r="T12" s="1540">
        <f>((S13*T13)+(S14*T14))/S12</f>
        <v>4.7399999999999998E-2</v>
      </c>
      <c r="U12" s="1541">
        <f>((S13*U13)+(S14*U14))/S12</f>
        <v>5.71</v>
      </c>
      <c r="V12" s="1538">
        <f>SUM(V13:V14)</f>
        <v>108019303.34999999</v>
      </c>
      <c r="W12" s="1540">
        <f>((V13*W13)+(V14*W14))/V12</f>
        <v>4.9599999999999998E-2</v>
      </c>
      <c r="X12" s="1541">
        <f>((V13*X13)+(V14*X14))/V12</f>
        <v>6.34</v>
      </c>
      <c r="Y12" s="1538">
        <f>SUM(Y13:Y14)</f>
        <v>10403498.710000001</v>
      </c>
      <c r="Z12" s="1540">
        <f>((Y13*Z13)+(Y14*Z14))/Y12</f>
        <v>4.8000000000000001E-2</v>
      </c>
      <c r="AA12" s="1541">
        <f>((Y13*AA13)+(Y14*AA14))/Y12</f>
        <v>6.46</v>
      </c>
      <c r="AB12" s="1538">
        <f>SUM(AB13:AB14)</f>
        <v>81801953.790000007</v>
      </c>
      <c r="AC12" s="1540">
        <f>((AB13*AC13)+(AB14*AC14))/AB12</f>
        <v>3.3500000000000002E-2</v>
      </c>
      <c r="AD12" s="1541">
        <f>((AB13*AD13)+(AB14*AD14))/AB12</f>
        <v>1.1000000000000001</v>
      </c>
      <c r="AE12" s="1538">
        <f t="shared" ref="AE12:AH12" si="1">SUM(AE13:AE14)</f>
        <v>1076875138.8</v>
      </c>
      <c r="AF12" s="1540">
        <f>((AE13*AF13)+(AE14*AF14))/AE12</f>
        <v>3.7999999999999999E-2</v>
      </c>
      <c r="AG12" s="1541">
        <f>((AE13*AG13)+(AE14*AG14))/AE12</f>
        <v>1.02</v>
      </c>
      <c r="AH12" s="1538">
        <f t="shared" si="1"/>
        <v>702848697.95000005</v>
      </c>
      <c r="AI12" s="1540">
        <f>((AH13*AI13)+(AH14*AI14))/AH12</f>
        <v>5.0599999999999999E-2</v>
      </c>
      <c r="AJ12" s="1541">
        <f>((AH13*AJ13)+(AH14*AJ14))/AH12</f>
        <v>1.2</v>
      </c>
    </row>
    <row r="13" spans="2:36" s="1475" customFormat="1" ht="18" customHeight="1" x14ac:dyDescent="0.25">
      <c r="B13" s="1476" t="s">
        <v>743</v>
      </c>
      <c r="C13" s="1500"/>
      <c r="D13" s="1506">
        <f>G13+AB13+AE13+AH13</f>
        <v>3805241890.71</v>
      </c>
      <c r="E13" s="1523">
        <f>((G13*H13)+(AB13*AC13)+(AE13*AF13)+(AH13*AI13))/D13</f>
        <v>4.2999999999999997E-2</v>
      </c>
      <c r="F13" s="1500"/>
      <c r="G13" s="1506">
        <f>J13+M13</f>
        <v>2487388357.3600001</v>
      </c>
      <c r="H13" s="1479">
        <f>((J13*K13)+(M13*N13))/G13</f>
        <v>4.3299999999999998E-2</v>
      </c>
      <c r="I13" s="1506">
        <f>((J13*L13)+(M13*O13))/G13</f>
        <v>4.28</v>
      </c>
      <c r="J13" s="1506">
        <v>437755095.89999998</v>
      </c>
      <c r="K13" s="1479">
        <v>3.2500000000000001E-2</v>
      </c>
      <c r="L13" s="1506">
        <v>0.14000000000000001</v>
      </c>
      <c r="M13" s="1506">
        <f>P13+S13+V13+Y13</f>
        <v>2049633261.46</v>
      </c>
      <c r="N13" s="1479">
        <f>((P13*Q13)+(S13*T13)+(V13*W13)+(Y13*Z13))/M13</f>
        <v>4.5600000000000002E-2</v>
      </c>
      <c r="O13" s="1506">
        <f>((P13*R13)+(S13*U13)+(V13*X13)+(Y13*AA13))/M13</f>
        <v>5.17</v>
      </c>
      <c r="P13" s="1506">
        <v>564231757.36000001</v>
      </c>
      <c r="Q13" s="1479">
        <v>4.6199999999999998E-2</v>
      </c>
      <c r="R13" s="1542">
        <v>6.92</v>
      </c>
      <c r="S13" s="1506">
        <v>1434753407.8699999</v>
      </c>
      <c r="T13" s="1479">
        <v>4.5499999999999999E-2</v>
      </c>
      <c r="U13" s="1506">
        <v>4.4000000000000004</v>
      </c>
      <c r="V13" s="1506">
        <v>46772375.689999998</v>
      </c>
      <c r="W13" s="1479">
        <v>4.3799999999999999E-2</v>
      </c>
      <c r="X13" s="1506">
        <v>7.59</v>
      </c>
      <c r="Y13" s="1506">
        <v>3875720.54</v>
      </c>
      <c r="Z13" s="1479">
        <v>3.8899999999999997E-2</v>
      </c>
      <c r="AA13" s="1506">
        <v>5.86</v>
      </c>
      <c r="AB13" s="1506">
        <v>50994044.32</v>
      </c>
      <c r="AC13" s="1479">
        <v>3.1099999999999999E-2</v>
      </c>
      <c r="AD13" s="1506">
        <v>1.5</v>
      </c>
      <c r="AE13" s="1506">
        <v>617566092.32000005</v>
      </c>
      <c r="AF13" s="1479">
        <v>3.5099999999999999E-2</v>
      </c>
      <c r="AG13" s="1506">
        <v>0.5</v>
      </c>
      <c r="AH13" s="1506">
        <f>+[7]ADMINISTRACIÓN!$I$11</f>
        <v>649293396.71000004</v>
      </c>
      <c r="AI13" s="1479">
        <v>5.04E-2</v>
      </c>
      <c r="AJ13" s="1506">
        <v>1.23</v>
      </c>
    </row>
    <row r="14" spans="2:36" s="1475" customFormat="1" ht="18" customHeight="1" x14ac:dyDescent="0.25">
      <c r="B14" s="1476" t="s">
        <v>744</v>
      </c>
      <c r="C14" s="1500"/>
      <c r="D14" s="1506">
        <f>G14+AB14+AE14+AH14</f>
        <v>2840862498.6599998</v>
      </c>
      <c r="E14" s="1523">
        <f>((G14*H14)+(AB14*AC14)+(AE14*AF14)+(AH14*AI14))/D14</f>
        <v>4.9500000000000002E-2</v>
      </c>
      <c r="F14" s="1500"/>
      <c r="G14" s="1506">
        <f>J14+M14</f>
        <v>2297190241.4699998</v>
      </c>
      <c r="H14" s="1479">
        <f>((J14*K14)+(M14*N14))/G14</f>
        <v>5.11E-2</v>
      </c>
      <c r="I14" s="1506">
        <f>((J14*L14)+(M14*O14))/G14</f>
        <v>6.68</v>
      </c>
      <c r="J14" s="1506">
        <v>75172432.819999993</v>
      </c>
      <c r="K14" s="1479">
        <v>4.9000000000000002E-2</v>
      </c>
      <c r="L14" s="1506">
        <v>6.18</v>
      </c>
      <c r="M14" s="1506">
        <f>P14+S14+V14+Y14</f>
        <v>2222017808.6500001</v>
      </c>
      <c r="N14" s="1479">
        <f>((P14*Q14)+(S14*T14)+(V14*W14)+(Y14*Z14))/M14</f>
        <v>5.1200000000000002E-2</v>
      </c>
      <c r="O14" s="1506">
        <f>((P14*R14)+(S14*U14)+(V14*X14)+(Y14*AA14))/M14</f>
        <v>6.7</v>
      </c>
      <c r="P14" s="1506">
        <v>953526345.09000003</v>
      </c>
      <c r="Q14" s="1479">
        <v>5.28E-2</v>
      </c>
      <c r="R14" s="1542">
        <v>6.05</v>
      </c>
      <c r="S14" s="1506">
        <v>1200716757.73</v>
      </c>
      <c r="T14" s="1479">
        <v>4.9700000000000001E-2</v>
      </c>
      <c r="U14" s="1506">
        <v>7.28</v>
      </c>
      <c r="V14" s="1506">
        <v>61246927.659999996</v>
      </c>
      <c r="W14" s="1479">
        <v>5.4100000000000002E-2</v>
      </c>
      <c r="X14" s="1506">
        <v>5.39</v>
      </c>
      <c r="Y14" s="1506">
        <v>6527778.1699999999</v>
      </c>
      <c r="Z14" s="1479">
        <v>5.3400000000000003E-2</v>
      </c>
      <c r="AA14" s="1506">
        <v>6.82</v>
      </c>
      <c r="AB14" s="1506">
        <v>30807909.469999999</v>
      </c>
      <c r="AC14" s="1479">
        <v>3.7600000000000001E-2</v>
      </c>
      <c r="AD14" s="1506">
        <v>0.45</v>
      </c>
      <c r="AE14" s="1506">
        <v>459309046.48000002</v>
      </c>
      <c r="AF14" s="1479">
        <v>4.1799999999999997E-2</v>
      </c>
      <c r="AG14" s="1506">
        <v>1.71</v>
      </c>
      <c r="AH14" s="1543">
        <v>53555301.240000002</v>
      </c>
      <c r="AI14" s="1480">
        <v>5.2600000000000001E-2</v>
      </c>
      <c r="AJ14" s="1506">
        <v>0.84</v>
      </c>
    </row>
    <row r="15" spans="2:36" s="151" customFormat="1" ht="6" customHeight="1" x14ac:dyDescent="0.25">
      <c r="B15" s="1476"/>
      <c r="C15" s="1511"/>
      <c r="D15" s="1504"/>
      <c r="E15" s="1507"/>
      <c r="F15" s="1511"/>
      <c r="G15" s="1506"/>
      <c r="H15" s="1479"/>
      <c r="I15" s="1479"/>
      <c r="J15" s="1506"/>
      <c r="K15" s="1479"/>
      <c r="L15" s="1479"/>
      <c r="M15" s="1506"/>
      <c r="N15" s="1479"/>
      <c r="O15" s="1479"/>
      <c r="P15" s="1479"/>
      <c r="Q15" s="1479"/>
      <c r="R15" s="1480"/>
      <c r="S15" s="1506"/>
      <c r="T15" s="1479"/>
      <c r="U15" s="1479"/>
      <c r="V15" s="1506"/>
      <c r="W15" s="1479"/>
      <c r="X15" s="1479"/>
      <c r="Y15" s="1506"/>
      <c r="Z15" s="1479"/>
      <c r="AA15" s="1479"/>
      <c r="AB15" s="1506"/>
      <c r="AC15" s="1479"/>
      <c r="AD15" s="1479"/>
      <c r="AE15" s="1506"/>
      <c r="AF15" s="1479"/>
      <c r="AG15" s="1479"/>
      <c r="AH15" s="1506"/>
      <c r="AI15" s="1479"/>
      <c r="AJ15" s="1479"/>
    </row>
    <row r="16" spans="2:36" s="147" customFormat="1" ht="18" customHeight="1" x14ac:dyDescent="0.25">
      <c r="B16" s="1502" t="s">
        <v>745</v>
      </c>
      <c r="C16" s="1500"/>
      <c r="D16" s="1544">
        <f>SUM(D17:D22)</f>
        <v>3552468690.1900001</v>
      </c>
      <c r="E16" s="1545">
        <f>((D17*E17)+(D18*E18)+(D19*E19)+(D20*E20)+(D21*E21)+(D22*E22))/D16</f>
        <v>4.7600000000000003E-2</v>
      </c>
      <c r="F16" s="1500"/>
      <c r="G16" s="1544">
        <f>SUM(G17:G22)</f>
        <v>3522811280.6900001</v>
      </c>
      <c r="H16" s="1546">
        <f>((G17*H17)+(G18*H18)+(G19*H19)+(G20*H20)+(G21*H21)+(G22*H22))/G16</f>
        <v>4.7399999999999998E-2</v>
      </c>
      <c r="I16" s="1547">
        <f>((G17*I17)+(G18*I18+G19*I19+G20*I20+G21*I21+G22*I22))/G16</f>
        <v>16.43</v>
      </c>
      <c r="J16" s="1544">
        <f>SUM(J17:J22)</f>
        <v>35929254.170000002</v>
      </c>
      <c r="K16" s="1546">
        <f>(($J$17*K17)+($J$18*K18)+($J$19*K19)+($J$20*K20)+($J$21*K21)+($J$22*K22))/$J16</f>
        <v>4.0099999999999997E-2</v>
      </c>
      <c r="L16" s="1548">
        <f>(($J$17*L17)+($J$18*L18)+($J$19*L19)+($J$20*L20)+($J$21*L21)+($J$22*L22))/$J16</f>
        <v>18.850000000000001</v>
      </c>
      <c r="M16" s="1544">
        <f>SUM(M17:M22)</f>
        <v>3486882026.52</v>
      </c>
      <c r="N16" s="1546">
        <f>((M17*N17)+(M18*N18)+(M19*N19)+(M20*N20)+(M21*N21)+(M22*N22))/M16</f>
        <v>4.7500000000000001E-2</v>
      </c>
      <c r="O16" s="1548">
        <f>(($M$17*O17)+($M$18*O18)+($M$19*O19)+($M$20*O20)+($M$21*O21)+($M$22*O22))/$M16</f>
        <v>16.41</v>
      </c>
      <c r="P16" s="1548">
        <f>SUM(P17:P22)</f>
        <v>1125743427.7</v>
      </c>
      <c r="Q16" s="1546">
        <f>((P17*Q17)+(P18*Q18)+(P19*Q19)+(P20*Q20)+(P21*Q21)+(P22*Q22))/P16</f>
        <v>4.9399999999999999E-2</v>
      </c>
      <c r="R16" s="1548">
        <f>(($P$17*R17)+($P$18*R18)+($P$19*R19)+($P$20*R20)+($P$21*R21)+($P$22*R22))/$P16</f>
        <v>17.73</v>
      </c>
      <c r="S16" s="1544">
        <f>SUM(S17:S22)</f>
        <v>2322973397.8600001</v>
      </c>
      <c r="T16" s="1546">
        <f>((S17*T17)+(S18*T18)+(S19*T19)+(S20*T20)+(S21*T21)+(S22*T22))/S16</f>
        <v>4.6800000000000001E-2</v>
      </c>
      <c r="U16" s="1548">
        <f>(($S$17*U17)+($S$18*U18)+($S$19*U19)+($S$20*U20)+($S$21*U21)+($S$22*U22))/$S16</f>
        <v>15.87</v>
      </c>
      <c r="V16" s="1544">
        <f>SUM(V17:V22)</f>
        <v>35428881.030000001</v>
      </c>
      <c r="W16" s="1546">
        <f>((V17*W17)+(V18*W18)+(V19*W19)+(V20*W20)+(V21*W21)+(V22*W22))/V16</f>
        <v>3.4799999999999998E-2</v>
      </c>
      <c r="X16" s="1548">
        <f>(($V$17*X17)+($V$18*X18)+($V$19*X19)+($V$20*X20)+($V$21*X21)+($V$22*X22))/$V16</f>
        <v>10.18</v>
      </c>
      <c r="Y16" s="1544">
        <f>SUM(Y17:Y22)</f>
        <v>2736319.93</v>
      </c>
      <c r="Z16" s="1546">
        <f>((Y17*Z17)+(Y18*Z18)+(Y19*Z19)+(Y20*Z20)+(Y21*Z21)+(Y22*Z22))/Y16</f>
        <v>3.5999999999999997E-2</v>
      </c>
      <c r="AA16" s="1548">
        <f>(($Y$17*AA17)+($Y$18*AA18)+($Y$19*AA19)+($Y$20*AA20)+($Y$21*AA21)+($Y$22*AA22))/$Y16</f>
        <v>10.87</v>
      </c>
      <c r="AB16" s="1544">
        <f>SUM(AB17:AB22)</f>
        <v>29657409.5</v>
      </c>
      <c r="AC16" s="1546">
        <f>(((AB17*AC17)+(AB18*AC18)+(AB19*AC19)+(AB20*AC20)+(AB21*AC21)+(AB22*AC22))/AB16)</f>
        <v>6.3700000000000007E-2</v>
      </c>
      <c r="AD16" s="1548">
        <f>(($AB$17*AD17)+($AB$18*AD18)+($AB$19*AD19)+($AB$20*AD20)+($AB$21*AD21)+($AB$22*AD22))/$AB16</f>
        <v>11.25</v>
      </c>
      <c r="AE16" s="1544">
        <f>SUM(AE17:AE22)</f>
        <v>0</v>
      </c>
      <c r="AF16" s="1546">
        <v>0</v>
      </c>
      <c r="AG16" s="1548">
        <v>0</v>
      </c>
      <c r="AH16" s="1544">
        <f>SUM(AH17:AH22)</f>
        <v>0</v>
      </c>
      <c r="AI16" s="1546">
        <v>0</v>
      </c>
      <c r="AJ16" s="1548">
        <v>0</v>
      </c>
    </row>
    <row r="17" spans="2:36" s="147" customFormat="1" ht="18" customHeight="1" x14ac:dyDescent="0.25">
      <c r="B17" s="1476" t="s">
        <v>746</v>
      </c>
      <c r="C17" s="1500"/>
      <c r="D17" s="1506">
        <f>G17+AB17+AE17+AH17</f>
        <v>26359200</v>
      </c>
      <c r="E17" s="1523">
        <f t="shared" ref="E17:E24" si="2">((G17*H17)+(AB17*AC17)+(AE17*AF17)+(AH17*AI17))/D17</f>
        <v>6.54E-2</v>
      </c>
      <c r="F17" s="1511"/>
      <c r="G17" s="1506">
        <f>J17+M17</f>
        <v>26359200</v>
      </c>
      <c r="H17" s="1479">
        <f>((J17*K17)+(M17*N17))/G17</f>
        <v>6.54E-2</v>
      </c>
      <c r="I17" s="1506">
        <f t="shared" ref="I17:I22" si="3">((J17*L17)+(M17*O17))/G17</f>
        <v>0.79</v>
      </c>
      <c r="J17" s="1506">
        <v>0</v>
      </c>
      <c r="K17" s="1479">
        <v>0</v>
      </c>
      <c r="L17" s="1506">
        <v>0</v>
      </c>
      <c r="M17" s="1506">
        <f t="shared" ref="M17:M22" si="4">P17+S17+V17+Y17</f>
        <v>26359200</v>
      </c>
      <c r="N17" s="1479">
        <f t="shared" ref="N17:N22" si="5">((P17*Q17)+(S17*T17)+(V17*W17)+(Y17*Z17))/M17</f>
        <v>6.54E-2</v>
      </c>
      <c r="O17" s="1506">
        <f>((P17*R17)+(S17*U17)+(V17*X17)+(Y17*AA17))/M17</f>
        <v>0.79</v>
      </c>
      <c r="P17" s="1506">
        <v>0</v>
      </c>
      <c r="Q17" s="1479">
        <v>0</v>
      </c>
      <c r="R17" s="1542">
        <v>0</v>
      </c>
      <c r="S17" s="1506">
        <v>26359200</v>
      </c>
      <c r="T17" s="1479">
        <v>6.54E-2</v>
      </c>
      <c r="U17" s="1506">
        <v>0.79</v>
      </c>
      <c r="V17" s="1506">
        <v>0</v>
      </c>
      <c r="W17" s="1479">
        <v>0</v>
      </c>
      <c r="X17" s="1506">
        <v>0</v>
      </c>
      <c r="Y17" s="1506">
        <v>0</v>
      </c>
      <c r="Z17" s="1479">
        <v>0</v>
      </c>
      <c r="AA17" s="1506">
        <v>0</v>
      </c>
      <c r="AB17" s="1506">
        <v>0</v>
      </c>
      <c r="AC17" s="1479">
        <v>0</v>
      </c>
      <c r="AD17" s="1506">
        <v>0</v>
      </c>
      <c r="AE17" s="1506">
        <v>0</v>
      </c>
      <c r="AF17" s="1479">
        <v>0</v>
      </c>
      <c r="AG17" s="1506">
        <v>0</v>
      </c>
      <c r="AH17" s="1506">
        <v>0</v>
      </c>
      <c r="AI17" s="1479">
        <v>0</v>
      </c>
      <c r="AJ17" s="1506">
        <v>0</v>
      </c>
    </row>
    <row r="18" spans="2:36" s="1475" customFormat="1" ht="18" customHeight="1" x14ac:dyDescent="0.25">
      <c r="B18" s="1476" t="s">
        <v>747</v>
      </c>
      <c r="C18" s="1477"/>
      <c r="D18" s="1506">
        <f t="shared" ref="D18:D24" si="6">G18+AB18+AE18+AH18</f>
        <v>1151219870</v>
      </c>
      <c r="E18" s="1523">
        <f t="shared" si="2"/>
        <v>4.1700000000000001E-2</v>
      </c>
      <c r="F18" s="1477"/>
      <c r="G18" s="1506">
        <f t="shared" ref="G18:G19" si="7">J18+M18</f>
        <v>1151219870</v>
      </c>
      <c r="H18" s="1479">
        <f>((J18*K18)+(M18*N18))/G18</f>
        <v>4.1700000000000001E-2</v>
      </c>
      <c r="I18" s="1506">
        <f t="shared" si="3"/>
        <v>7.85</v>
      </c>
      <c r="J18" s="1506">
        <v>0</v>
      </c>
      <c r="K18" s="1479">
        <v>0</v>
      </c>
      <c r="L18" s="1506">
        <v>0</v>
      </c>
      <c r="M18" s="1506">
        <f t="shared" si="4"/>
        <v>1151219870</v>
      </c>
      <c r="N18" s="1479">
        <f t="shared" si="5"/>
        <v>4.1700000000000001E-2</v>
      </c>
      <c r="O18" s="1506">
        <f t="shared" ref="O18:O24" si="8">((P18*R18)+(S18*U18)+(V18*X18)+(Y18*AA18))/M18</f>
        <v>7.85</v>
      </c>
      <c r="P18" s="1506">
        <v>382714589.25</v>
      </c>
      <c r="Q18" s="1479">
        <v>4.3900000000000002E-2</v>
      </c>
      <c r="R18" s="1542">
        <v>8.4</v>
      </c>
      <c r="S18" s="1506">
        <v>754511280.75</v>
      </c>
      <c r="T18" s="1479">
        <v>4.0800000000000003E-2</v>
      </c>
      <c r="U18" s="1506">
        <v>7.59</v>
      </c>
      <c r="V18" s="1506">
        <v>12386286.890000001</v>
      </c>
      <c r="W18" s="1479">
        <v>3.3599999999999998E-2</v>
      </c>
      <c r="X18" s="1506">
        <v>6.92</v>
      </c>
      <c r="Y18" s="1506">
        <v>1607713.11</v>
      </c>
      <c r="Z18" s="1479">
        <v>3.3599999999999998E-2</v>
      </c>
      <c r="AA18" s="1506">
        <v>6.92</v>
      </c>
      <c r="AB18" s="1506">
        <v>0</v>
      </c>
      <c r="AC18" s="1479">
        <v>0</v>
      </c>
      <c r="AD18" s="1506">
        <v>0</v>
      </c>
      <c r="AE18" s="1506">
        <v>0</v>
      </c>
      <c r="AF18" s="1479">
        <v>0</v>
      </c>
      <c r="AG18" s="1506">
        <v>0</v>
      </c>
      <c r="AH18" s="1506">
        <v>0</v>
      </c>
      <c r="AI18" s="1479">
        <v>0</v>
      </c>
      <c r="AJ18" s="1506">
        <v>0</v>
      </c>
    </row>
    <row r="19" spans="2:36" s="1475" customFormat="1" ht="18" customHeight="1" x14ac:dyDescent="0.25">
      <c r="B19" s="1476" t="s">
        <v>748</v>
      </c>
      <c r="C19" s="1477"/>
      <c r="D19" s="1506">
        <f t="shared" si="6"/>
        <v>119447893.59999999</v>
      </c>
      <c r="E19" s="1523">
        <f t="shared" si="2"/>
        <v>3.6799999999999999E-2</v>
      </c>
      <c r="F19" s="1477"/>
      <c r="G19" s="1506">
        <f t="shared" si="7"/>
        <v>119447893.59999999</v>
      </c>
      <c r="H19" s="1479">
        <f t="shared" ref="H19:H22" si="9">((J19*K19)+(M19*N19))/G19</f>
        <v>3.6799999999999999E-2</v>
      </c>
      <c r="I19" s="1506">
        <f t="shared" si="3"/>
        <v>1.81</v>
      </c>
      <c r="J19" s="1506">
        <v>0</v>
      </c>
      <c r="K19" s="1479">
        <v>0</v>
      </c>
      <c r="L19" s="1506">
        <v>0</v>
      </c>
      <c r="M19" s="1506">
        <f t="shared" si="4"/>
        <v>119447893.59999999</v>
      </c>
      <c r="N19" s="1479">
        <f t="shared" si="5"/>
        <v>3.6799999999999999E-2</v>
      </c>
      <c r="O19" s="1506">
        <f t="shared" si="8"/>
        <v>1.81</v>
      </c>
      <c r="P19" s="1506">
        <v>40071821.729999997</v>
      </c>
      <c r="Q19" s="1479">
        <v>3.7600000000000001E-2</v>
      </c>
      <c r="R19" s="1542">
        <v>1.71</v>
      </c>
      <c r="S19" s="1506">
        <v>69510549.359999999</v>
      </c>
      <c r="T19" s="1479">
        <v>3.7600000000000001E-2</v>
      </c>
      <c r="U19" s="1506">
        <v>1.71</v>
      </c>
      <c r="V19" s="1506">
        <v>9626529.6600000001</v>
      </c>
      <c r="W19" s="1479">
        <v>2.7900000000000001E-2</v>
      </c>
      <c r="X19" s="1506">
        <v>2.88</v>
      </c>
      <c r="Y19" s="1506">
        <v>238992.85</v>
      </c>
      <c r="Z19" s="1479">
        <v>2.81E-2</v>
      </c>
      <c r="AA19" s="1506">
        <v>2.85</v>
      </c>
      <c r="AB19" s="1506">
        <v>0</v>
      </c>
      <c r="AC19" s="1479">
        <v>0</v>
      </c>
      <c r="AD19" s="1506">
        <v>0</v>
      </c>
      <c r="AE19" s="1506">
        <v>0</v>
      </c>
      <c r="AF19" s="1479">
        <v>0</v>
      </c>
      <c r="AG19" s="1506">
        <v>0</v>
      </c>
      <c r="AH19" s="1506">
        <v>0</v>
      </c>
      <c r="AI19" s="1479">
        <v>0</v>
      </c>
      <c r="AJ19" s="1506">
        <v>0</v>
      </c>
    </row>
    <row r="20" spans="2:36" s="1475" customFormat="1" ht="18" customHeight="1" x14ac:dyDescent="0.25">
      <c r="B20" s="1476" t="s">
        <v>749</v>
      </c>
      <c r="C20" s="1477"/>
      <c r="D20" s="1506">
        <f t="shared" si="6"/>
        <v>1849705726.5899999</v>
      </c>
      <c r="E20" s="1523">
        <f t="shared" si="2"/>
        <v>5.4899999999999997E-2</v>
      </c>
      <c r="F20" s="1477"/>
      <c r="G20" s="1506">
        <f>J20+M20</f>
        <v>1820048317.0899999</v>
      </c>
      <c r="H20" s="1479">
        <f t="shared" si="9"/>
        <v>5.4800000000000001E-2</v>
      </c>
      <c r="I20" s="1506">
        <f t="shared" si="3"/>
        <v>25.34</v>
      </c>
      <c r="J20" s="1506">
        <v>23974008.25</v>
      </c>
      <c r="K20" s="1479">
        <f>Hoja9!I15</f>
        <v>4.5199999999999997E-2</v>
      </c>
      <c r="L20" s="1508">
        <v>25.71</v>
      </c>
      <c r="M20" s="1506">
        <f>P20+S20+V20+Y20</f>
        <v>1796074308.8399999</v>
      </c>
      <c r="N20" s="1479">
        <f t="shared" si="5"/>
        <v>5.4899999999999997E-2</v>
      </c>
      <c r="O20" s="1506">
        <f t="shared" si="8"/>
        <v>25.34</v>
      </c>
      <c r="P20" s="1508">
        <v>577494161.02999997</v>
      </c>
      <c r="Q20" s="1479">
        <v>5.7299999999999997E-2</v>
      </c>
      <c r="R20" s="1549">
        <v>27.41</v>
      </c>
      <c r="S20" s="1506">
        <v>1208217747.45</v>
      </c>
      <c r="T20" s="1479">
        <v>5.3900000000000003E-2</v>
      </c>
      <c r="U20" s="1508">
        <v>24.37</v>
      </c>
      <c r="V20" s="1506">
        <v>9648187.2400000002</v>
      </c>
      <c r="W20" s="1479">
        <v>4.5100000000000001E-2</v>
      </c>
      <c r="X20" s="1508">
        <v>23.62</v>
      </c>
      <c r="Y20" s="1506">
        <v>714213.12</v>
      </c>
      <c r="Z20" s="1479">
        <v>4.5499999999999999E-2</v>
      </c>
      <c r="AA20" s="1508">
        <v>23.88</v>
      </c>
      <c r="AB20" s="1506">
        <v>29657409.5</v>
      </c>
      <c r="AC20" s="1479">
        <v>6.3700000000000007E-2</v>
      </c>
      <c r="AD20" s="1508">
        <v>11.25</v>
      </c>
      <c r="AE20" s="1506">
        <v>0</v>
      </c>
      <c r="AF20" s="1479">
        <v>0</v>
      </c>
      <c r="AG20" s="1508">
        <v>0</v>
      </c>
      <c r="AH20" s="1506">
        <v>0</v>
      </c>
      <c r="AI20" s="1479">
        <v>0</v>
      </c>
      <c r="AJ20" s="1508">
        <v>0</v>
      </c>
    </row>
    <row r="21" spans="2:36" s="1475" customFormat="1" ht="18" customHeight="1" x14ac:dyDescent="0.25">
      <c r="B21" s="1476" t="s">
        <v>750</v>
      </c>
      <c r="C21" s="1477"/>
      <c r="D21" s="1506">
        <f t="shared" si="6"/>
        <v>205736000</v>
      </c>
      <c r="E21" s="1523">
        <f t="shared" si="2"/>
        <v>0.03</v>
      </c>
      <c r="F21" s="1477"/>
      <c r="G21" s="1506">
        <f t="shared" ref="G21:G22" si="10">J21+M21</f>
        <v>205736000</v>
      </c>
      <c r="H21" s="1479">
        <f t="shared" si="9"/>
        <v>0.03</v>
      </c>
      <c r="I21" s="1506">
        <f t="shared" si="3"/>
        <v>5.39</v>
      </c>
      <c r="J21" s="1506">
        <v>11955245.92</v>
      </c>
      <c r="K21" s="1479">
        <v>0.03</v>
      </c>
      <c r="L21" s="1508">
        <v>5.09</v>
      </c>
      <c r="M21" s="1506">
        <f t="shared" si="4"/>
        <v>193780754.08000001</v>
      </c>
      <c r="N21" s="1479">
        <f t="shared" si="5"/>
        <v>0.03</v>
      </c>
      <c r="O21" s="1506">
        <f t="shared" si="8"/>
        <v>5.41</v>
      </c>
      <c r="P21" s="1508">
        <f>Hoja10!F94</f>
        <v>43962855.689999998</v>
      </c>
      <c r="Q21" s="1479">
        <f>Hoja10!I94</f>
        <v>0.03</v>
      </c>
      <c r="R21" s="1549">
        <v>6.52</v>
      </c>
      <c r="S21" s="1506">
        <f>Hoja10!F219</f>
        <v>145874620.30000001</v>
      </c>
      <c r="T21" s="1479">
        <v>0.03</v>
      </c>
      <c r="U21" s="1508">
        <v>5.09</v>
      </c>
      <c r="V21" s="1506">
        <v>3767877.24</v>
      </c>
      <c r="W21" s="1479">
        <v>0.03</v>
      </c>
      <c r="X21" s="1508">
        <v>5.09</v>
      </c>
      <c r="Y21" s="1506">
        <v>175400.85</v>
      </c>
      <c r="Z21" s="1479">
        <v>0.03</v>
      </c>
      <c r="AA21" s="1508">
        <v>5.09</v>
      </c>
      <c r="AB21" s="1506">
        <v>0</v>
      </c>
      <c r="AC21" s="1479">
        <v>0</v>
      </c>
      <c r="AD21" s="1508">
        <v>0</v>
      </c>
      <c r="AE21" s="1506">
        <v>0</v>
      </c>
      <c r="AF21" s="1479">
        <v>0</v>
      </c>
      <c r="AG21" s="1508">
        <v>0</v>
      </c>
      <c r="AH21" s="1506">
        <v>0</v>
      </c>
      <c r="AI21" s="1479">
        <v>0</v>
      </c>
      <c r="AJ21" s="1508">
        <v>0</v>
      </c>
    </row>
    <row r="22" spans="2:36" s="1475" customFormat="1" ht="18" customHeight="1" x14ac:dyDescent="0.25">
      <c r="B22" s="1476" t="s">
        <v>751</v>
      </c>
      <c r="C22" s="1477"/>
      <c r="D22" s="1506">
        <f t="shared" si="6"/>
        <v>200000000</v>
      </c>
      <c r="E22" s="1523">
        <f t="shared" si="2"/>
        <v>3.5499999999999997E-2</v>
      </c>
      <c r="F22" s="1477"/>
      <c r="G22" s="1506">
        <f t="shared" si="10"/>
        <v>200000000</v>
      </c>
      <c r="H22" s="1479">
        <f t="shared" si="9"/>
        <v>3.5499999999999997E-2</v>
      </c>
      <c r="I22" s="1506">
        <f t="shared" si="3"/>
        <v>6.89</v>
      </c>
      <c r="J22" s="1506">
        <v>0</v>
      </c>
      <c r="K22" s="1479">
        <v>0</v>
      </c>
      <c r="L22" s="1506">
        <v>0</v>
      </c>
      <c r="M22" s="1506">
        <f t="shared" si="4"/>
        <v>200000000</v>
      </c>
      <c r="N22" s="1479">
        <f t="shared" si="5"/>
        <v>3.5499999999999997E-2</v>
      </c>
      <c r="O22" s="1506">
        <f t="shared" si="8"/>
        <v>6.89</v>
      </c>
      <c r="P22" s="1506">
        <f>Hoja10!F95+Hoja10!F96</f>
        <v>81500000</v>
      </c>
      <c r="Q22" s="1479">
        <f>Hoja10!I97</f>
        <v>3.5499999999999997E-2</v>
      </c>
      <c r="R22" s="1542">
        <v>6.9</v>
      </c>
      <c r="S22" s="1506">
        <f>SUM(Hoja10!F220:F223)</f>
        <v>118500000</v>
      </c>
      <c r="T22" s="1479">
        <f>Hoja10!I224</f>
        <v>3.5499999999999997E-2</v>
      </c>
      <c r="U22" s="1506">
        <v>6.88</v>
      </c>
      <c r="V22" s="1506">
        <v>0</v>
      </c>
      <c r="W22" s="1479">
        <v>0</v>
      </c>
      <c r="X22" s="1506">
        <v>0</v>
      </c>
      <c r="Y22" s="1506">
        <v>0</v>
      </c>
      <c r="Z22" s="1479">
        <v>0</v>
      </c>
      <c r="AA22" s="1506">
        <v>0</v>
      </c>
      <c r="AB22" s="1506">
        <v>0</v>
      </c>
      <c r="AC22" s="1479">
        <v>0</v>
      </c>
      <c r="AD22" s="1506">
        <v>0</v>
      </c>
      <c r="AE22" s="1506">
        <v>0</v>
      </c>
      <c r="AF22" s="1479">
        <v>0</v>
      </c>
      <c r="AG22" s="1506">
        <v>0</v>
      </c>
      <c r="AH22" s="1506">
        <v>0</v>
      </c>
      <c r="AI22" s="1479">
        <v>0</v>
      </c>
      <c r="AJ22" s="1506">
        <v>0</v>
      </c>
    </row>
    <row r="23" spans="2:36" s="1475" customFormat="1" ht="6" customHeight="1" x14ac:dyDescent="0.25">
      <c r="B23" s="1504"/>
      <c r="C23" s="1477"/>
      <c r="D23" s="1504"/>
      <c r="E23" s="1505"/>
      <c r="F23" s="1477"/>
      <c r="G23" s="1506"/>
      <c r="H23" s="1479"/>
      <c r="I23" s="1479"/>
      <c r="J23" s="1506"/>
      <c r="K23" s="1479"/>
      <c r="L23" s="1479"/>
      <c r="M23" s="1506"/>
      <c r="N23" s="1479"/>
      <c r="O23" s="1479"/>
      <c r="P23" s="1479"/>
      <c r="Q23" s="1479"/>
      <c r="R23" s="1480"/>
      <c r="S23" s="1506"/>
      <c r="T23" s="1479"/>
      <c r="U23" s="1479"/>
      <c r="V23" s="1506"/>
      <c r="W23" s="1479"/>
      <c r="X23" s="1479"/>
      <c r="Y23" s="1506"/>
      <c r="Z23" s="1479"/>
      <c r="AA23" s="1479"/>
      <c r="AB23" s="1506"/>
      <c r="AC23" s="1479"/>
      <c r="AD23" s="1479"/>
      <c r="AE23" s="1506"/>
      <c r="AF23" s="1479"/>
      <c r="AG23" s="1479"/>
      <c r="AH23" s="1506"/>
      <c r="AI23" s="1479"/>
      <c r="AJ23" s="1479"/>
    </row>
    <row r="24" spans="2:36" s="1475" customFormat="1" ht="18" customHeight="1" x14ac:dyDescent="0.25">
      <c r="B24" s="1502" t="s">
        <v>752</v>
      </c>
      <c r="C24" s="1477"/>
      <c r="D24" s="1544">
        <f t="shared" si="6"/>
        <v>516635131.04000002</v>
      </c>
      <c r="E24" s="1545">
        <f t="shared" si="2"/>
        <v>5.0799999999999998E-2</v>
      </c>
      <c r="F24" s="1500"/>
      <c r="G24" s="1544">
        <f>J24+M24</f>
        <v>483015574.93000001</v>
      </c>
      <c r="H24" s="1546">
        <f>((J24*K24)+(M24*N24))/G24</f>
        <v>5.0099999999999999E-2</v>
      </c>
      <c r="I24" s="1544">
        <f>((J24*L24)+(M24*O24))/G24</f>
        <v>3.54</v>
      </c>
      <c r="J24" s="1544">
        <v>0</v>
      </c>
      <c r="K24" s="1546">
        <v>0</v>
      </c>
      <c r="L24" s="1544">
        <v>0</v>
      </c>
      <c r="M24" s="1544">
        <f>P24+S24+V24+Y24</f>
        <v>483015574.93000001</v>
      </c>
      <c r="N24" s="1546">
        <f>((P24*Q24)+(S24*T24)+(V24*W24)+(Y24*Z24))/M24</f>
        <v>5.0099999999999999E-2</v>
      </c>
      <c r="O24" s="1544">
        <f t="shared" si="8"/>
        <v>3.54</v>
      </c>
      <c r="P24" s="1544">
        <f>63000000+63000000+31500000+212.35</f>
        <v>157500212.34999999</v>
      </c>
      <c r="Q24" s="1546">
        <v>4.7600000000000003E-2</v>
      </c>
      <c r="R24" s="1550">
        <v>3.8</v>
      </c>
      <c r="S24" s="1544">
        <v>270858715.13</v>
      </c>
      <c r="T24" s="1546">
        <v>4.8899999999999999E-2</v>
      </c>
      <c r="U24" s="1544">
        <v>3.78</v>
      </c>
      <c r="V24" s="1544">
        <v>54263732.130000003</v>
      </c>
      <c r="W24" s="1546">
        <v>6.3600000000000004E-2</v>
      </c>
      <c r="X24" s="1544">
        <v>1.61</v>
      </c>
      <c r="Y24" s="1544">
        <v>392915.32</v>
      </c>
      <c r="Z24" s="1546">
        <v>5.6000000000000001E-2</v>
      </c>
      <c r="AA24" s="1544">
        <v>1</v>
      </c>
      <c r="AB24" s="1544">
        <v>0</v>
      </c>
      <c r="AC24" s="1546">
        <v>0</v>
      </c>
      <c r="AD24" s="1544">
        <v>0</v>
      </c>
      <c r="AE24" s="1544">
        <v>1923539.11</v>
      </c>
      <c r="AF24" s="1546">
        <v>0.06</v>
      </c>
      <c r="AG24" s="1544">
        <v>1</v>
      </c>
      <c r="AH24" s="1544">
        <v>31696017</v>
      </c>
      <c r="AI24" s="1546">
        <v>6.0999999999999999E-2</v>
      </c>
      <c r="AJ24" s="1544">
        <v>1.53</v>
      </c>
    </row>
    <row r="25" spans="2:36" s="151" customFormat="1" ht="6" customHeight="1" x14ac:dyDescent="0.25">
      <c r="B25" s="1476"/>
      <c r="C25" s="1511"/>
      <c r="D25" s="1504"/>
      <c r="E25" s="1507"/>
      <c r="F25" s="1477"/>
      <c r="G25" s="1506"/>
      <c r="H25" s="1479"/>
      <c r="I25" s="1479"/>
      <c r="J25" s="1506"/>
      <c r="K25" s="1479"/>
      <c r="L25" s="1479"/>
      <c r="M25" s="1506"/>
      <c r="N25" s="1479"/>
      <c r="O25" s="1479"/>
      <c r="P25" s="1479"/>
      <c r="Q25" s="1479"/>
      <c r="R25" s="1480"/>
      <c r="S25" s="1506"/>
      <c r="T25" s="1479"/>
      <c r="U25" s="1479"/>
      <c r="V25" s="1508"/>
      <c r="W25" s="1479"/>
      <c r="X25" s="1479"/>
      <c r="Y25" s="1506"/>
      <c r="Z25" s="1479"/>
      <c r="AA25" s="1479"/>
      <c r="AB25" s="1506"/>
      <c r="AC25" s="1479"/>
      <c r="AD25" s="1479"/>
      <c r="AE25" s="1506"/>
      <c r="AF25" s="1479"/>
      <c r="AG25" s="1479"/>
      <c r="AH25" s="1506"/>
      <c r="AI25" s="1479"/>
      <c r="AJ25" s="1479"/>
    </row>
    <row r="26" spans="2:36" s="147" customFormat="1" ht="18" customHeight="1" x14ac:dyDescent="0.25">
      <c r="B26" s="1502" t="s">
        <v>753</v>
      </c>
      <c r="C26" s="1505"/>
      <c r="D26" s="1544">
        <f>SUM(D27:D31)</f>
        <v>144371000</v>
      </c>
      <c r="E26" s="1545">
        <f>+(D27*E27+D28*E28+D29*E29+D30*E30+D31*E31)/D26</f>
        <v>5.5100000000000003E-2</v>
      </c>
      <c r="F26" s="1511"/>
      <c r="G26" s="1544">
        <f>SUM(G27:G31)</f>
        <v>94371000</v>
      </c>
      <c r="H26" s="1546">
        <f>+(G27*H27+G28*H28+G29*H29+G30*H30+G31*H31)/G26</f>
        <v>5.4100000000000002E-2</v>
      </c>
      <c r="I26" s="1547">
        <f>((G27*I27)+(G28*I28+G29*I29+G30*I30+G31*I31))/G26</f>
        <v>3.31</v>
      </c>
      <c r="J26" s="1544">
        <f>SUM(J27:J31)</f>
        <v>0</v>
      </c>
      <c r="K26" s="1546">
        <f>SUM(K27:K31)</f>
        <v>0</v>
      </c>
      <c r="L26" s="1544">
        <f>SUM(L27:L31)</f>
        <v>0</v>
      </c>
      <c r="M26" s="1544">
        <f>SUM(M27:M31)</f>
        <v>94371000</v>
      </c>
      <c r="N26" s="1546">
        <f>+(M27*N27+M28*N28+M29*N29+M30*N30+M31*N31)/M26</f>
        <v>5.4100000000000002E-2</v>
      </c>
      <c r="O26" s="1548">
        <f>(($M$27*O27)+($M$28*O28)+($M$29*O29)+($M$30*O30)+($M$31*O31))/$M26</f>
        <v>3.31</v>
      </c>
      <c r="P26" s="1544">
        <f>SUM(P27:P31)</f>
        <v>37505548.609999999</v>
      </c>
      <c r="Q26" s="1546">
        <f>+(P27*Q27+P28*Q28+P29*Q29+P31*Q31)/P26</f>
        <v>4.7300000000000002E-2</v>
      </c>
      <c r="R26" s="1548">
        <f>+(P27*R27+P28*R28+P29*R29+P30*R30+P31*R31)/P26</f>
        <v>2.41</v>
      </c>
      <c r="S26" s="1544">
        <f>SUM(S27:S31)</f>
        <v>56865451.390000001</v>
      </c>
      <c r="T26" s="1546">
        <f>+(S27*T27+S28*T28+S29*T29+S30*T30+S31*T31)/S26</f>
        <v>5.8599999999999999E-2</v>
      </c>
      <c r="U26" s="1548">
        <f>+(S27*U27+S28*U28+S29*U29+S30*U30+S31*U31)/S26</f>
        <v>3.91</v>
      </c>
      <c r="V26" s="1548">
        <v>0</v>
      </c>
      <c r="W26" s="1546">
        <v>0</v>
      </c>
      <c r="X26" s="1548">
        <v>0</v>
      </c>
      <c r="Y26" s="1544">
        <v>0</v>
      </c>
      <c r="Z26" s="1546">
        <v>0</v>
      </c>
      <c r="AA26" s="1544">
        <v>0</v>
      </c>
      <c r="AB26" s="1544">
        <f t="shared" ref="AB26:AI26" si="11">SUM(AB27:AB31)</f>
        <v>0</v>
      </c>
      <c r="AC26" s="1546">
        <f t="shared" si="11"/>
        <v>0</v>
      </c>
      <c r="AD26" s="1544">
        <v>0</v>
      </c>
      <c r="AE26" s="1544">
        <f t="shared" si="11"/>
        <v>50000000</v>
      </c>
      <c r="AF26" s="1546">
        <f>((AE27*AF27)+(AE29*AF29))/AE26</f>
        <v>5.7000000000000002E-2</v>
      </c>
      <c r="AG26" s="1548">
        <f>+(AE27*AG27+AE28*AG28+AE29*AG29+AE30*AG30+AE31*AG31)/AE26</f>
        <v>0.88</v>
      </c>
      <c r="AH26" s="1544">
        <f t="shared" si="11"/>
        <v>0</v>
      </c>
      <c r="AI26" s="1546">
        <f t="shared" si="11"/>
        <v>0</v>
      </c>
      <c r="AJ26" s="1544">
        <v>0</v>
      </c>
    </row>
    <row r="27" spans="2:36" s="147" customFormat="1" ht="18" customHeight="1" x14ac:dyDescent="0.25">
      <c r="B27" s="1476" t="s">
        <v>754</v>
      </c>
      <c r="C27" s="1505"/>
      <c r="D27" s="1506">
        <f t="shared" ref="D27:D33" si="12">G27+AB27+AE27+AH27</f>
        <v>20000000</v>
      </c>
      <c r="E27" s="1523">
        <f t="shared" ref="E27:E31" si="13">((G27*H27)+(AB27*AC27)+(AE27*AF27)+(AH27*AI27))/D27</f>
        <v>0.06</v>
      </c>
      <c r="F27" s="1511"/>
      <c r="G27" s="1506">
        <f>J27+M27</f>
        <v>0</v>
      </c>
      <c r="H27" s="1479">
        <v>0</v>
      </c>
      <c r="I27" s="1506">
        <v>0</v>
      </c>
      <c r="J27" s="1506">
        <v>0</v>
      </c>
      <c r="K27" s="1479">
        <v>0</v>
      </c>
      <c r="L27" s="1506">
        <v>0</v>
      </c>
      <c r="M27" s="1506">
        <f>P27+S27+V27+Y27</f>
        <v>0</v>
      </c>
      <c r="N27" s="1479">
        <v>0</v>
      </c>
      <c r="O27" s="1506">
        <v>0</v>
      </c>
      <c r="P27" s="1506">
        <v>0</v>
      </c>
      <c r="Q27" s="1479">
        <v>0</v>
      </c>
      <c r="R27" s="1542">
        <v>0</v>
      </c>
      <c r="S27" s="1506">
        <v>0</v>
      </c>
      <c r="T27" s="1479">
        <v>0</v>
      </c>
      <c r="U27" s="1506">
        <v>0</v>
      </c>
      <c r="V27" s="1508">
        <v>0</v>
      </c>
      <c r="W27" s="1479">
        <v>0</v>
      </c>
      <c r="X27" s="1506">
        <v>0</v>
      </c>
      <c r="Y27" s="1506">
        <v>0</v>
      </c>
      <c r="Z27" s="1479">
        <v>0</v>
      </c>
      <c r="AA27" s="1506">
        <v>0</v>
      </c>
      <c r="AB27" s="1506">
        <v>0</v>
      </c>
      <c r="AC27" s="1479">
        <v>0</v>
      </c>
      <c r="AD27" s="1506">
        <v>0</v>
      </c>
      <c r="AE27" s="1506">
        <v>20000000</v>
      </c>
      <c r="AF27" s="1479">
        <v>0.06</v>
      </c>
      <c r="AG27" s="1506">
        <v>1.1000000000000001</v>
      </c>
      <c r="AH27" s="1506">
        <v>0</v>
      </c>
      <c r="AI27" s="1479">
        <v>0</v>
      </c>
      <c r="AJ27" s="1506">
        <v>0</v>
      </c>
    </row>
    <row r="28" spans="2:36" s="147" customFormat="1" ht="18" customHeight="1" x14ac:dyDescent="0.25">
      <c r="B28" s="1476" t="s">
        <v>756</v>
      </c>
      <c r="C28" s="1505"/>
      <c r="D28" s="1506">
        <f t="shared" si="12"/>
        <v>34371000</v>
      </c>
      <c r="E28" s="1523">
        <f t="shared" si="13"/>
        <v>4.4699999999999997E-2</v>
      </c>
      <c r="F28" s="1500"/>
      <c r="G28" s="1551">
        <f>J28+M28</f>
        <v>34371000</v>
      </c>
      <c r="H28" s="1552">
        <f>((J28*K28)+(M28*N28))/G28</f>
        <v>4.4699999999999997E-2</v>
      </c>
      <c r="I28" s="1506">
        <f t="shared" ref="I28:I33" si="14">((J28*L28)+(M28*O28))/G28</f>
        <v>4.2300000000000004</v>
      </c>
      <c r="J28" s="1506">
        <v>0</v>
      </c>
      <c r="K28" s="1479">
        <v>0</v>
      </c>
      <c r="L28" s="1506">
        <v>0</v>
      </c>
      <c r="M28" s="1506">
        <f>P28+S28+V28+Y28</f>
        <v>34371000</v>
      </c>
      <c r="N28" s="1479">
        <f>((P28*Q28)+(S28*T28)+(V28*W28)+(Y28*Z28))/M28</f>
        <v>4.4699999999999997E-2</v>
      </c>
      <c r="O28" s="1506">
        <f t="shared" ref="O28:O33" si="15">((P28*R28)+(S28*U28)+(V28*X28)+(Y28*AA28))/M28</f>
        <v>4.2300000000000004</v>
      </c>
      <c r="P28" s="1506">
        <f>Hoja10!F97</f>
        <v>26407020</v>
      </c>
      <c r="Q28" s="1479">
        <f>Hoja10!I100</f>
        <v>4.19E-2</v>
      </c>
      <c r="R28" s="1542">
        <v>3.11</v>
      </c>
      <c r="S28" s="1506">
        <f>Hoja10!F225</f>
        <v>7963980</v>
      </c>
      <c r="T28" s="1479">
        <v>5.3999999999999999E-2</v>
      </c>
      <c r="U28" s="1506">
        <v>7.96</v>
      </c>
      <c r="V28" s="1508">
        <v>0</v>
      </c>
      <c r="W28" s="1479">
        <v>0</v>
      </c>
      <c r="X28" s="1506">
        <v>0</v>
      </c>
      <c r="Y28" s="1506">
        <v>0</v>
      </c>
      <c r="Z28" s="1479">
        <v>0</v>
      </c>
      <c r="AA28" s="1506">
        <v>0</v>
      </c>
      <c r="AB28" s="1506">
        <v>0</v>
      </c>
      <c r="AC28" s="1479">
        <v>0</v>
      </c>
      <c r="AD28" s="1506">
        <v>0</v>
      </c>
      <c r="AE28" s="1506">
        <v>0</v>
      </c>
      <c r="AF28" s="1479">
        <v>0</v>
      </c>
      <c r="AG28" s="1506">
        <v>0</v>
      </c>
      <c r="AH28" s="1506">
        <v>0</v>
      </c>
      <c r="AI28" s="1479">
        <v>0</v>
      </c>
      <c r="AJ28" s="1506">
        <v>0</v>
      </c>
    </row>
    <row r="29" spans="2:36" s="147" customFormat="1" ht="18" customHeight="1" x14ac:dyDescent="0.25">
      <c r="B29" s="1476" t="s">
        <v>757</v>
      </c>
      <c r="C29" s="1505"/>
      <c r="D29" s="1506">
        <f t="shared" si="12"/>
        <v>30000000</v>
      </c>
      <c r="E29" s="1523">
        <f t="shared" si="13"/>
        <v>5.5E-2</v>
      </c>
      <c r="F29" s="1500"/>
      <c r="G29" s="1551">
        <f>J29+M29</f>
        <v>0</v>
      </c>
      <c r="H29" s="1479">
        <v>0</v>
      </c>
      <c r="I29" s="1506">
        <v>0</v>
      </c>
      <c r="J29" s="1506">
        <v>0</v>
      </c>
      <c r="K29" s="1479">
        <v>0</v>
      </c>
      <c r="L29" s="1506">
        <v>0</v>
      </c>
      <c r="M29" s="1506">
        <f>P29+S29+V29+Y29</f>
        <v>0</v>
      </c>
      <c r="N29" s="1479">
        <v>0</v>
      </c>
      <c r="O29" s="1506">
        <v>0</v>
      </c>
      <c r="P29" s="1506">
        <v>0</v>
      </c>
      <c r="Q29" s="1479">
        <v>0</v>
      </c>
      <c r="R29" s="1542">
        <v>0</v>
      </c>
      <c r="S29" s="1506">
        <v>0</v>
      </c>
      <c r="T29" s="1479">
        <v>0</v>
      </c>
      <c r="U29" s="1506">
        <v>0</v>
      </c>
      <c r="V29" s="1508">
        <v>0</v>
      </c>
      <c r="W29" s="1479">
        <v>0</v>
      </c>
      <c r="X29" s="1506">
        <v>0</v>
      </c>
      <c r="Y29" s="1506">
        <v>0</v>
      </c>
      <c r="Z29" s="1479">
        <v>0</v>
      </c>
      <c r="AA29" s="1506">
        <v>0</v>
      </c>
      <c r="AB29" s="1506">
        <v>0</v>
      </c>
      <c r="AC29" s="1479">
        <v>0</v>
      </c>
      <c r="AD29" s="1506">
        <v>0</v>
      </c>
      <c r="AE29" s="1506">
        <v>30000000</v>
      </c>
      <c r="AF29" s="1479">
        <v>5.5E-2</v>
      </c>
      <c r="AG29" s="1506">
        <v>0.74</v>
      </c>
      <c r="AH29" s="1506">
        <v>0</v>
      </c>
      <c r="AI29" s="1479">
        <v>0</v>
      </c>
      <c r="AJ29" s="1506">
        <v>0</v>
      </c>
    </row>
    <row r="30" spans="2:36" s="147" customFormat="1" ht="18" customHeight="1" x14ac:dyDescent="0.25">
      <c r="B30" s="1476" t="s">
        <v>757</v>
      </c>
      <c r="C30" s="1505"/>
      <c r="D30" s="1506">
        <f t="shared" si="12"/>
        <v>30000000</v>
      </c>
      <c r="E30" s="1523">
        <f t="shared" si="13"/>
        <v>5.8999999999999997E-2</v>
      </c>
      <c r="F30" s="1500"/>
      <c r="G30" s="1551">
        <f>J30+M30</f>
        <v>30000000</v>
      </c>
      <c r="H30" s="1552">
        <f>((J30*K30)+(M30*N30))/G30</f>
        <v>5.8999999999999997E-2</v>
      </c>
      <c r="I30" s="1506">
        <f t="shared" si="14"/>
        <v>4.82</v>
      </c>
      <c r="J30" s="1506">
        <v>0</v>
      </c>
      <c r="K30" s="1479">
        <v>0</v>
      </c>
      <c r="L30" s="1506">
        <v>0</v>
      </c>
      <c r="M30" s="1506">
        <f>P30+S30+V30+Y30</f>
        <v>30000000</v>
      </c>
      <c r="N30" s="1479">
        <f>((P30*Q30)+(S30*T30)+(V30*W30)+(Y30*Z30))/M30</f>
        <v>5.8999999999999997E-2</v>
      </c>
      <c r="O30" s="1506">
        <f t="shared" si="15"/>
        <v>4.82</v>
      </c>
      <c r="P30" s="1506">
        <v>0</v>
      </c>
      <c r="Q30" s="1479">
        <v>0</v>
      </c>
      <c r="R30" s="1542">
        <v>0</v>
      </c>
      <c r="S30" s="1506">
        <v>30000000</v>
      </c>
      <c r="T30" s="1479">
        <v>5.8999999999999997E-2</v>
      </c>
      <c r="U30" s="1506">
        <v>4.82</v>
      </c>
      <c r="V30" s="1508">
        <v>0</v>
      </c>
      <c r="W30" s="1479">
        <v>0</v>
      </c>
      <c r="X30" s="1506">
        <v>0</v>
      </c>
      <c r="Y30" s="1506">
        <v>0</v>
      </c>
      <c r="Z30" s="1479">
        <v>0</v>
      </c>
      <c r="AA30" s="1506">
        <v>0</v>
      </c>
      <c r="AB30" s="1506">
        <v>0</v>
      </c>
      <c r="AC30" s="1479">
        <v>0</v>
      </c>
      <c r="AD30" s="1506">
        <v>0</v>
      </c>
      <c r="AE30" s="1506">
        <v>0</v>
      </c>
      <c r="AF30" s="1479">
        <v>0</v>
      </c>
      <c r="AG30" s="1506">
        <v>0</v>
      </c>
      <c r="AH30" s="1506">
        <v>0</v>
      </c>
      <c r="AI30" s="1479">
        <v>0</v>
      </c>
      <c r="AJ30" s="1506">
        <v>0</v>
      </c>
    </row>
    <row r="31" spans="2:36" s="147" customFormat="1" ht="18" customHeight="1" x14ac:dyDescent="0.25">
      <c r="B31" s="1476" t="s">
        <v>758</v>
      </c>
      <c r="C31" s="1505"/>
      <c r="D31" s="1506">
        <f t="shared" si="12"/>
        <v>30000000</v>
      </c>
      <c r="E31" s="1523">
        <f t="shared" si="13"/>
        <v>0.06</v>
      </c>
      <c r="F31" s="1511"/>
      <c r="G31" s="1551">
        <f>J31+M31</f>
        <v>30000000</v>
      </c>
      <c r="H31" s="1552">
        <f>((J31*K31)+(M31*N31))/G31</f>
        <v>0.06</v>
      </c>
      <c r="I31" s="1506">
        <f t="shared" si="14"/>
        <v>0.76</v>
      </c>
      <c r="J31" s="1506">
        <v>0</v>
      </c>
      <c r="K31" s="1479">
        <v>0</v>
      </c>
      <c r="L31" s="1506">
        <v>0</v>
      </c>
      <c r="M31" s="1506">
        <f>P31+S31+V31+Y31</f>
        <v>30000000</v>
      </c>
      <c r="N31" s="1479">
        <f>((P31*Q31)+(S31*T31)+(V31*W31)+(Y31*Z31))/M31</f>
        <v>0.06</v>
      </c>
      <c r="O31" s="1506">
        <f t="shared" si="15"/>
        <v>0.76</v>
      </c>
      <c r="P31" s="1506">
        <v>11098528.609999999</v>
      </c>
      <c r="Q31" s="1479">
        <v>0.06</v>
      </c>
      <c r="R31" s="1542">
        <v>0.76</v>
      </c>
      <c r="S31" s="1506">
        <v>18901471.390000001</v>
      </c>
      <c r="T31" s="1479">
        <v>0.06</v>
      </c>
      <c r="U31" s="1506">
        <v>0.76</v>
      </c>
      <c r="V31" s="1508">
        <v>0</v>
      </c>
      <c r="W31" s="1479">
        <v>0</v>
      </c>
      <c r="X31" s="1506">
        <v>0</v>
      </c>
      <c r="Y31" s="1506">
        <v>0</v>
      </c>
      <c r="Z31" s="1479">
        <v>0</v>
      </c>
      <c r="AA31" s="1506">
        <v>0</v>
      </c>
      <c r="AB31" s="1506">
        <v>0</v>
      </c>
      <c r="AC31" s="1479">
        <v>0</v>
      </c>
      <c r="AD31" s="1506">
        <v>0</v>
      </c>
      <c r="AE31" s="1506">
        <v>0</v>
      </c>
      <c r="AF31" s="1479">
        <v>0</v>
      </c>
      <c r="AG31" s="1506">
        <v>0</v>
      </c>
      <c r="AH31" s="1506">
        <v>0</v>
      </c>
      <c r="AI31" s="1479">
        <v>0</v>
      </c>
      <c r="AJ31" s="1506">
        <v>0</v>
      </c>
    </row>
    <row r="32" spans="2:36" s="147" customFormat="1" ht="6" customHeight="1" x14ac:dyDescent="0.25">
      <c r="B32" s="1502"/>
      <c r="C32" s="1505"/>
      <c r="D32" s="1506"/>
      <c r="E32" s="1479"/>
      <c r="F32" s="1511"/>
      <c r="G32" s="1506"/>
      <c r="H32" s="1479"/>
      <c r="I32" s="1479"/>
      <c r="J32" s="1506"/>
      <c r="K32" s="1479"/>
      <c r="L32" s="1479"/>
      <c r="M32" s="1506"/>
      <c r="N32" s="1479"/>
      <c r="O32" s="1479"/>
      <c r="P32" s="1479"/>
      <c r="Q32" s="1479"/>
      <c r="R32" s="1480"/>
      <c r="S32" s="1506"/>
      <c r="T32" s="1479"/>
      <c r="U32" s="1479"/>
      <c r="V32" s="1508"/>
      <c r="W32" s="1479"/>
      <c r="X32" s="1479"/>
      <c r="Y32" s="1506"/>
      <c r="Z32" s="1479"/>
      <c r="AA32" s="1479"/>
      <c r="AB32" s="1506"/>
      <c r="AC32" s="1479"/>
      <c r="AD32" s="1479"/>
      <c r="AE32" s="1506"/>
      <c r="AF32" s="1479"/>
      <c r="AG32" s="1479"/>
      <c r="AH32" s="1506"/>
      <c r="AI32" s="1479"/>
      <c r="AJ32" s="1479"/>
    </row>
    <row r="33" spans="2:38" s="147" customFormat="1" ht="18" customHeight="1" x14ac:dyDescent="0.25">
      <c r="B33" s="1502" t="s">
        <v>759</v>
      </c>
      <c r="C33" s="1505"/>
      <c r="D33" s="1553">
        <f t="shared" si="12"/>
        <v>200000000</v>
      </c>
      <c r="E33" s="1554">
        <f t="shared" ref="E33" si="16">((G33*H33)+(AB33*AC33)+(AE33*AF33)+(AH33*AI33))/D33</f>
        <v>3.5000000000000003E-2</v>
      </c>
      <c r="F33" s="1511"/>
      <c r="G33" s="1555">
        <f>J33+M33</f>
        <v>200000000</v>
      </c>
      <c r="H33" s="1556">
        <f>((J33*K33)+(M33*N33))/G33</f>
        <v>3.5000000000000003E-2</v>
      </c>
      <c r="I33" s="1553">
        <f t="shared" si="14"/>
        <v>18.170000000000002</v>
      </c>
      <c r="J33" s="1553">
        <v>0</v>
      </c>
      <c r="K33" s="1557">
        <v>0</v>
      </c>
      <c r="L33" s="1553">
        <v>0</v>
      </c>
      <c r="M33" s="1553">
        <f>P33+S33+V33+Y33</f>
        <v>200000000</v>
      </c>
      <c r="N33" s="1557">
        <f>((P33*Q33)+(S33*T33)+(V33*W33)+(Y33*Z33))/M33</f>
        <v>3.5000000000000003E-2</v>
      </c>
      <c r="O33" s="1553">
        <f t="shared" si="15"/>
        <v>18.170000000000002</v>
      </c>
      <c r="P33" s="1553">
        <f>Hoja10!F101</f>
        <v>71882137.159999996</v>
      </c>
      <c r="Q33" s="1557">
        <v>3.5000000000000003E-2</v>
      </c>
      <c r="R33" s="1558">
        <v>18.170000000000002</v>
      </c>
      <c r="S33" s="1553">
        <f>Hoja10!F227</f>
        <v>128117862.84</v>
      </c>
      <c r="T33" s="1557">
        <v>3.5000000000000003E-2</v>
      </c>
      <c r="U33" s="1553">
        <v>18.170000000000002</v>
      </c>
      <c r="V33" s="1559">
        <v>0</v>
      </c>
      <c r="W33" s="1557">
        <v>0</v>
      </c>
      <c r="X33" s="1553">
        <v>0</v>
      </c>
      <c r="Y33" s="1553">
        <v>0</v>
      </c>
      <c r="Z33" s="1557">
        <v>0</v>
      </c>
      <c r="AA33" s="1553">
        <v>0</v>
      </c>
      <c r="AB33" s="1553">
        <v>0</v>
      </c>
      <c r="AC33" s="1557">
        <v>0</v>
      </c>
      <c r="AD33" s="1553">
        <v>0</v>
      </c>
      <c r="AE33" s="1553">
        <v>0</v>
      </c>
      <c r="AF33" s="1557">
        <v>0</v>
      </c>
      <c r="AG33" s="1553">
        <v>0</v>
      </c>
      <c r="AH33" s="1553">
        <v>0</v>
      </c>
      <c r="AI33" s="1557">
        <v>0</v>
      </c>
      <c r="AJ33" s="1553">
        <v>0</v>
      </c>
    </row>
    <row r="34" spans="2:38" s="151" customFormat="1" ht="9.75" customHeight="1" x14ac:dyDescent="0.25">
      <c r="B34" s="1510"/>
      <c r="C34" s="1511"/>
      <c r="D34" s="1509"/>
      <c r="E34" s="1512"/>
      <c r="F34" s="1501"/>
      <c r="G34" s="1501"/>
      <c r="H34" s="1513"/>
      <c r="I34" s="1514"/>
      <c r="J34" s="1501"/>
      <c r="K34" s="1514"/>
      <c r="L34" s="1514"/>
      <c r="M34" s="1501"/>
      <c r="N34" s="1514"/>
      <c r="O34" s="1514"/>
      <c r="P34" s="1501"/>
      <c r="Q34" s="1514"/>
      <c r="R34" s="1514"/>
      <c r="S34" s="1501"/>
      <c r="T34" s="1513"/>
      <c r="U34" s="1513"/>
      <c r="V34" s="1515"/>
      <c r="W34" s="1514"/>
      <c r="X34" s="1514"/>
      <c r="Y34" s="1501"/>
      <c r="Z34" s="1514"/>
      <c r="AA34" s="1514"/>
      <c r="AB34" s="1501"/>
      <c r="AC34" s="1514"/>
      <c r="AD34" s="1514"/>
      <c r="AE34" s="1501"/>
      <c r="AF34" s="1514"/>
      <c r="AG34" s="1514"/>
      <c r="AH34" s="1501"/>
      <c r="AI34" s="1514"/>
      <c r="AJ34" s="1501"/>
    </row>
    <row r="35" spans="2:38" s="156" customFormat="1" ht="20.149999999999999" customHeight="1" x14ac:dyDescent="0.25">
      <c r="B35" s="1511" t="s">
        <v>71</v>
      </c>
      <c r="C35" s="1511"/>
      <c r="D35" s="1505"/>
      <c r="E35" s="1568"/>
      <c r="F35" s="1511"/>
      <c r="G35" s="1511"/>
      <c r="H35" s="1569"/>
      <c r="I35" s="1569"/>
      <c r="J35" s="1511"/>
      <c r="K35" s="1569"/>
      <c r="L35" s="1569"/>
      <c r="M35" s="1511"/>
      <c r="N35" s="1569"/>
      <c r="O35" s="1569"/>
      <c r="P35" s="1511"/>
      <c r="Q35" s="1569"/>
      <c r="R35" s="1569"/>
      <c r="S35" s="1511"/>
      <c r="T35" s="1569"/>
      <c r="U35" s="1569"/>
      <c r="V35" s="1570"/>
      <c r="W35" s="1569"/>
      <c r="X35" s="1569"/>
      <c r="Y35" s="1511"/>
      <c r="Z35" s="1569"/>
      <c r="AA35" s="1569"/>
      <c r="AB35" s="1511"/>
      <c r="AC35" s="1569"/>
      <c r="AD35" s="1569"/>
      <c r="AE35" s="1511"/>
      <c r="AF35" s="1569"/>
      <c r="AG35" s="1569"/>
      <c r="AH35" s="1511"/>
      <c r="AI35" s="1569"/>
      <c r="AJ35" s="1511"/>
      <c r="AK35" s="148"/>
      <c r="AL35" s="148"/>
    </row>
    <row r="36" spans="2:38" s="156" customFormat="1" ht="37.5" customHeight="1" x14ac:dyDescent="0.25">
      <c r="B36" s="1608" t="s">
        <v>755</v>
      </c>
      <c r="C36" s="1608"/>
      <c r="D36" s="1608"/>
      <c r="E36" s="1608"/>
      <c r="F36" s="1608"/>
      <c r="G36" s="1608"/>
      <c r="H36" s="1608"/>
      <c r="I36" s="1608"/>
      <c r="J36" s="1608"/>
      <c r="K36" s="1608"/>
      <c r="L36" s="1608"/>
      <c r="M36" s="1608"/>
      <c r="N36" s="1608"/>
      <c r="O36" s="1608"/>
      <c r="P36" s="1608"/>
      <c r="Q36" s="1608"/>
      <c r="R36" s="1608"/>
      <c r="S36" s="1608"/>
      <c r="T36" s="1608"/>
      <c r="U36" s="1608"/>
      <c r="V36" s="1608"/>
      <c r="W36" s="1608"/>
      <c r="X36" s="1608"/>
      <c r="Y36" s="1608"/>
      <c r="Z36" s="1608"/>
      <c r="AA36" s="1608"/>
      <c r="AB36" s="1608"/>
      <c r="AC36" s="1608"/>
      <c r="AD36" s="1608"/>
      <c r="AE36" s="1608"/>
      <c r="AF36" s="1608"/>
      <c r="AG36" s="1608"/>
      <c r="AH36" s="1608"/>
      <c r="AI36" s="1608"/>
      <c r="AJ36" s="1608"/>
      <c r="AK36" s="1608"/>
      <c r="AL36" s="1608"/>
    </row>
    <row r="37" spans="2:38" s="156" customFormat="1" ht="36.75" customHeight="1" x14ac:dyDescent="0.25">
      <c r="B37" s="1609" t="s">
        <v>765</v>
      </c>
      <c r="C37" s="1609"/>
      <c r="D37" s="1609"/>
      <c r="E37" s="1609"/>
      <c r="F37" s="1609"/>
      <c r="G37" s="1609"/>
      <c r="H37" s="1609"/>
      <c r="I37" s="1609"/>
      <c r="J37" s="1609"/>
      <c r="K37" s="1609"/>
      <c r="L37" s="1609"/>
      <c r="M37" s="1609"/>
      <c r="N37" s="1609"/>
      <c r="O37" s="1609"/>
      <c r="P37" s="1609"/>
      <c r="Q37" s="1609"/>
      <c r="R37" s="1609"/>
      <c r="S37" s="1609"/>
      <c r="T37" s="1609"/>
      <c r="U37" s="1609"/>
      <c r="V37" s="1609"/>
      <c r="W37" s="1609"/>
      <c r="X37" s="1609"/>
      <c r="Y37" s="1609"/>
      <c r="Z37" s="1609"/>
      <c r="AA37" s="1609"/>
      <c r="AB37" s="1609"/>
      <c r="AC37" s="1609"/>
      <c r="AD37" s="1609"/>
      <c r="AE37" s="1609"/>
      <c r="AF37" s="1609"/>
      <c r="AG37" s="1609"/>
      <c r="AH37" s="1609"/>
      <c r="AI37" s="1609"/>
      <c r="AJ37" s="1609"/>
      <c r="AK37" s="1609"/>
      <c r="AL37" s="1609"/>
    </row>
    <row r="38" spans="2:38" s="156" customFormat="1" ht="35.25" customHeight="1" x14ac:dyDescent="0.25">
      <c r="B38" s="1609" t="s">
        <v>81</v>
      </c>
      <c r="C38" s="1609"/>
      <c r="D38" s="1609"/>
      <c r="E38" s="1609"/>
      <c r="F38" s="1609"/>
      <c r="G38" s="1609"/>
      <c r="H38" s="1609"/>
      <c r="I38" s="1609"/>
      <c r="J38" s="1609"/>
      <c r="K38" s="1609"/>
      <c r="L38" s="1609"/>
      <c r="M38" s="1609"/>
      <c r="N38" s="1609"/>
      <c r="O38" s="1609"/>
      <c r="P38" s="1609"/>
      <c r="Q38" s="1609"/>
      <c r="R38" s="1609"/>
      <c r="S38" s="1609"/>
      <c r="T38" s="1609"/>
      <c r="U38" s="1609"/>
      <c r="V38" s="1609"/>
      <c r="W38" s="1609"/>
      <c r="X38" s="1609"/>
      <c r="Y38" s="1609"/>
      <c r="Z38" s="1609"/>
      <c r="AA38" s="1609"/>
      <c r="AB38" s="1609"/>
      <c r="AC38" s="1609"/>
      <c r="AD38" s="1609"/>
      <c r="AE38" s="1609"/>
      <c r="AF38" s="1609"/>
      <c r="AG38" s="1609"/>
      <c r="AH38" s="1609"/>
      <c r="AI38" s="1609"/>
      <c r="AJ38" s="1609"/>
      <c r="AK38" s="1609"/>
      <c r="AL38" s="1609"/>
    </row>
    <row r="39" spans="2:38" s="156" customFormat="1" ht="35.25" customHeight="1" x14ac:dyDescent="0.25">
      <c r="B39" s="1608" t="s">
        <v>763</v>
      </c>
      <c r="C39" s="1608"/>
      <c r="D39" s="1608"/>
      <c r="E39" s="1608"/>
      <c r="F39" s="1608"/>
      <c r="G39" s="1608"/>
      <c r="H39" s="1608"/>
      <c r="I39" s="1608"/>
      <c r="J39" s="1608"/>
      <c r="K39" s="1608"/>
      <c r="L39" s="1608"/>
      <c r="M39" s="1608"/>
      <c r="N39" s="1608"/>
      <c r="O39" s="1608"/>
      <c r="P39" s="1608"/>
      <c r="Q39" s="1608"/>
      <c r="R39" s="1608"/>
      <c r="S39" s="1608"/>
      <c r="T39" s="1608"/>
      <c r="U39" s="1608"/>
      <c r="V39" s="1608"/>
      <c r="W39" s="1608"/>
      <c r="X39" s="1608"/>
      <c r="Y39" s="1608"/>
      <c r="Z39" s="1608"/>
      <c r="AA39" s="1608"/>
      <c r="AB39" s="1608"/>
      <c r="AC39" s="1608"/>
      <c r="AD39" s="1608"/>
      <c r="AE39" s="1608"/>
      <c r="AF39" s="1608"/>
      <c r="AG39" s="1608"/>
      <c r="AH39" s="1608"/>
      <c r="AI39" s="1608"/>
      <c r="AJ39" s="1608"/>
      <c r="AK39" s="1608"/>
      <c r="AL39" s="1608"/>
    </row>
    <row r="40" spans="2:38" s="156" customFormat="1" ht="36" customHeight="1" x14ac:dyDescent="0.25">
      <c r="B40" s="1608" t="s">
        <v>764</v>
      </c>
      <c r="C40" s="1608"/>
      <c r="D40" s="1608"/>
      <c r="E40" s="1608"/>
      <c r="F40" s="1608"/>
      <c r="G40" s="1608"/>
      <c r="H40" s="1608"/>
      <c r="I40" s="1608"/>
      <c r="J40" s="1608"/>
      <c r="K40" s="1608"/>
      <c r="L40" s="1608"/>
      <c r="M40" s="1608"/>
      <c r="N40" s="1608"/>
      <c r="O40" s="1608"/>
      <c r="P40" s="1608"/>
      <c r="Q40" s="1608"/>
      <c r="R40" s="1608"/>
      <c r="S40" s="1608"/>
      <c r="T40" s="1608"/>
      <c r="U40" s="1608"/>
      <c r="V40" s="1608"/>
      <c r="W40" s="1608"/>
      <c r="X40" s="1608"/>
      <c r="Y40" s="1608"/>
      <c r="Z40" s="1608"/>
      <c r="AA40" s="1608"/>
      <c r="AB40" s="1608"/>
      <c r="AC40" s="1608"/>
      <c r="AD40" s="1608"/>
      <c r="AE40" s="1608"/>
      <c r="AF40" s="1608"/>
      <c r="AG40" s="1608"/>
      <c r="AH40" s="1608"/>
      <c r="AI40" s="1608"/>
      <c r="AJ40" s="1608"/>
      <c r="AK40" s="1608"/>
      <c r="AL40" s="1608"/>
    </row>
    <row r="41" spans="2:38" s="156" customFormat="1" ht="34.5" customHeight="1" x14ac:dyDescent="0.25">
      <c r="B41" s="1608" t="s">
        <v>761</v>
      </c>
      <c r="C41" s="1608"/>
      <c r="D41" s="1608"/>
      <c r="E41" s="1608"/>
      <c r="F41" s="1608"/>
      <c r="G41" s="1608"/>
      <c r="H41" s="1608"/>
      <c r="I41" s="1608"/>
      <c r="J41" s="1608"/>
      <c r="K41" s="1608"/>
      <c r="L41" s="1608"/>
      <c r="M41" s="1608"/>
      <c r="N41" s="1608"/>
      <c r="O41" s="1608"/>
      <c r="P41" s="1608"/>
      <c r="Q41" s="1608"/>
      <c r="R41" s="1608"/>
      <c r="S41" s="1608"/>
      <c r="T41" s="1608"/>
      <c r="U41" s="1608"/>
      <c r="V41" s="1608"/>
      <c r="W41" s="1608"/>
      <c r="X41" s="1608"/>
      <c r="Y41" s="1608"/>
      <c r="Z41" s="1608"/>
      <c r="AA41" s="1608"/>
      <c r="AB41" s="1608"/>
      <c r="AC41" s="1608"/>
      <c r="AD41" s="1608"/>
      <c r="AE41" s="1608"/>
      <c r="AF41" s="1608"/>
      <c r="AG41" s="1608"/>
      <c r="AH41" s="1608"/>
      <c r="AI41" s="1608"/>
      <c r="AJ41" s="1608"/>
      <c r="AK41" s="1608"/>
      <c r="AL41" s="1608"/>
    </row>
    <row r="42" spans="2:38" s="156" customFormat="1" ht="6" customHeight="1" x14ac:dyDescent="0.25">
      <c r="B42" s="1572"/>
      <c r="C42" s="1511"/>
      <c r="D42" s="1505"/>
      <c r="E42" s="1571"/>
      <c r="F42" s="1511"/>
      <c r="G42" s="1511"/>
      <c r="H42" s="1569"/>
      <c r="I42" s="1569"/>
      <c r="J42" s="1511"/>
      <c r="K42" s="1569"/>
      <c r="L42" s="1569"/>
      <c r="M42" s="1511"/>
      <c r="N42" s="1569"/>
      <c r="O42" s="1569"/>
      <c r="P42" s="1511"/>
      <c r="Q42" s="1569"/>
      <c r="R42" s="1569"/>
      <c r="S42" s="1511"/>
      <c r="T42" s="1569"/>
      <c r="U42" s="1569"/>
      <c r="V42" s="1570"/>
      <c r="W42" s="1569"/>
      <c r="X42" s="1569"/>
      <c r="Y42" s="1511"/>
      <c r="Z42" s="1569"/>
      <c r="AA42" s="1569"/>
      <c r="AB42" s="1511"/>
      <c r="AC42" s="1569"/>
      <c r="AD42" s="1569"/>
      <c r="AE42" s="1511"/>
      <c r="AF42" s="1569"/>
      <c r="AG42" s="1569"/>
      <c r="AH42" s="1511"/>
      <c r="AI42" s="1569"/>
      <c r="AJ42" s="1511"/>
      <c r="AK42" s="148"/>
      <c r="AL42" s="148"/>
    </row>
    <row r="43" spans="2:38" s="156" customFormat="1" ht="20.149999999999999" customHeight="1" x14ac:dyDescent="0.25">
      <c r="B43" s="1572" t="s">
        <v>770</v>
      </c>
      <c r="C43" s="1511"/>
      <c r="D43" s="1505"/>
      <c r="E43" s="1571"/>
      <c r="F43" s="1511"/>
      <c r="G43" s="1511"/>
      <c r="H43" s="1569"/>
      <c r="I43" s="1569"/>
      <c r="J43" s="1511"/>
      <c r="K43" s="1569"/>
      <c r="L43" s="1569"/>
      <c r="M43" s="1511"/>
      <c r="N43" s="1569"/>
      <c r="O43" s="1569"/>
      <c r="P43" s="1511"/>
      <c r="Q43" s="1569"/>
      <c r="R43" s="1569"/>
      <c r="S43" s="1511"/>
      <c r="T43" s="1569"/>
      <c r="U43" s="1569"/>
      <c r="V43" s="1570"/>
      <c r="W43" s="1569"/>
      <c r="X43" s="1569"/>
      <c r="Y43" s="1511"/>
      <c r="Z43" s="1569"/>
      <c r="AA43" s="1569"/>
      <c r="AB43" s="1511"/>
      <c r="AC43" s="1569"/>
      <c r="AD43" s="1569"/>
      <c r="AE43" s="1511"/>
      <c r="AF43" s="1569"/>
      <c r="AG43" s="1569"/>
      <c r="AH43" s="1511"/>
      <c r="AI43" s="1569"/>
      <c r="AJ43" s="1511"/>
      <c r="AK43" s="148"/>
      <c r="AL43" s="148"/>
    </row>
    <row r="44" spans="2:38" s="156" customFormat="1" ht="32.25" customHeight="1" x14ac:dyDescent="0.25">
      <c r="B44" s="1607" t="s">
        <v>78</v>
      </c>
      <c r="C44" s="1607"/>
      <c r="D44" s="1607"/>
      <c r="E44" s="1607"/>
      <c r="F44" s="1607"/>
      <c r="G44" s="1607"/>
      <c r="H44" s="1607"/>
      <c r="I44" s="1607"/>
      <c r="J44" s="1607"/>
      <c r="K44" s="1607"/>
      <c r="L44" s="1607"/>
      <c r="M44" s="1607"/>
      <c r="N44" s="1607"/>
      <c r="O44" s="1607"/>
      <c r="P44" s="1607"/>
      <c r="Q44" s="1607"/>
      <c r="R44" s="1607"/>
      <c r="S44" s="1607"/>
      <c r="T44" s="1607"/>
      <c r="U44" s="1607"/>
      <c r="V44" s="1607"/>
      <c r="W44" s="1607"/>
      <c r="X44" s="1607"/>
      <c r="Y44" s="1607"/>
      <c r="Z44" s="1607"/>
      <c r="AA44" s="1607"/>
      <c r="AB44" s="1607"/>
      <c r="AC44" s="1607"/>
      <c r="AD44" s="1607"/>
      <c r="AE44" s="1607"/>
      <c r="AF44" s="1607"/>
      <c r="AG44" s="1607"/>
      <c r="AH44" s="1607"/>
      <c r="AI44" s="1607"/>
      <c r="AJ44" s="1607"/>
      <c r="AK44" s="1607"/>
      <c r="AL44" s="1607"/>
    </row>
    <row r="45" spans="2:38" s="156" customFormat="1" ht="20.149999999999999" customHeight="1" x14ac:dyDescent="0.25">
      <c r="B45" s="1573" t="s">
        <v>79</v>
      </c>
      <c r="C45" s="1511"/>
      <c r="D45" s="1505"/>
      <c r="E45" s="1571"/>
      <c r="F45" s="1511"/>
      <c r="G45" s="1511"/>
      <c r="H45" s="1569"/>
      <c r="I45" s="1511"/>
      <c r="J45" s="1511"/>
      <c r="K45" s="1511"/>
      <c r="L45" s="1511"/>
      <c r="M45" s="1511"/>
      <c r="N45" s="1569"/>
      <c r="O45" s="1569"/>
      <c r="P45" s="1511"/>
      <c r="Q45" s="1569"/>
      <c r="R45" s="1569"/>
      <c r="S45" s="1511"/>
      <c r="T45" s="1569"/>
      <c r="U45" s="1569"/>
      <c r="V45" s="1570"/>
      <c r="W45" s="1569"/>
      <c r="X45" s="1569"/>
      <c r="Y45" s="1511"/>
      <c r="Z45" s="1569"/>
      <c r="AA45" s="1569"/>
      <c r="AB45" s="1511"/>
      <c r="AC45" s="1569"/>
      <c r="AD45" s="1569"/>
      <c r="AE45" s="1511"/>
      <c r="AF45" s="1569"/>
      <c r="AG45" s="1569"/>
      <c r="AH45" s="1511"/>
      <c r="AI45" s="1569"/>
      <c r="AJ45" s="1511"/>
      <c r="AK45" s="148"/>
      <c r="AL45" s="148"/>
    </row>
    <row r="46" spans="2:38" s="156" customFormat="1" ht="8.25" customHeight="1" x14ac:dyDescent="0.25">
      <c r="B46" s="1573"/>
      <c r="C46" s="1511"/>
      <c r="D46" s="1505"/>
      <c r="E46" s="1571"/>
      <c r="F46" s="1511"/>
      <c r="G46" s="1511"/>
      <c r="H46" s="1569"/>
      <c r="I46" s="1511"/>
      <c r="J46" s="1511"/>
      <c r="K46" s="1511"/>
      <c r="L46" s="1511"/>
      <c r="M46" s="1511"/>
      <c r="N46" s="1569"/>
      <c r="O46" s="1569"/>
      <c r="P46" s="1511"/>
      <c r="Q46" s="1569"/>
      <c r="R46" s="1569"/>
      <c r="S46" s="1511"/>
      <c r="T46" s="1569"/>
      <c r="U46" s="1569"/>
      <c r="V46" s="1570"/>
      <c r="W46" s="1569"/>
      <c r="X46" s="1569"/>
      <c r="Y46" s="1511"/>
      <c r="Z46" s="1569"/>
      <c r="AA46" s="1569"/>
      <c r="AB46" s="1511"/>
      <c r="AC46" s="1569"/>
      <c r="AD46" s="1569"/>
      <c r="AE46" s="1511"/>
      <c r="AF46" s="1569"/>
      <c r="AG46" s="1569"/>
      <c r="AH46" s="1511"/>
      <c r="AI46" s="1569"/>
      <c r="AJ46" s="1511"/>
      <c r="AK46" s="148"/>
      <c r="AL46" s="148"/>
    </row>
    <row r="47" spans="2:38" s="156" customFormat="1" ht="20.149999999999999" customHeight="1" x14ac:dyDescent="0.25">
      <c r="B47" s="1607" t="s">
        <v>768</v>
      </c>
      <c r="C47" s="1607"/>
      <c r="D47" s="1607"/>
      <c r="E47" s="1607"/>
      <c r="F47" s="1607"/>
      <c r="G47" s="1607"/>
      <c r="H47" s="1607"/>
      <c r="I47" s="1607"/>
      <c r="J47" s="1607"/>
      <c r="K47" s="1607"/>
      <c r="L47" s="1607"/>
      <c r="M47" s="1607"/>
      <c r="N47" s="1607"/>
      <c r="O47" s="1607"/>
      <c r="P47" s="1607"/>
      <c r="Q47" s="1607"/>
      <c r="R47" s="1607"/>
      <c r="S47" s="1607"/>
      <c r="T47" s="1607"/>
      <c r="U47" s="1607"/>
      <c r="V47" s="1607"/>
      <c r="W47" s="1607"/>
      <c r="X47" s="1607"/>
      <c r="Y47" s="1607"/>
      <c r="Z47" s="1607"/>
      <c r="AA47" s="1607"/>
      <c r="AB47" s="1607"/>
      <c r="AC47" s="1607"/>
      <c r="AD47" s="1607"/>
      <c r="AE47" s="1607"/>
      <c r="AF47" s="1607"/>
      <c r="AG47" s="1607"/>
      <c r="AH47" s="1607"/>
      <c r="AI47" s="1607"/>
      <c r="AJ47" s="1607"/>
      <c r="AK47" s="1607"/>
      <c r="AL47" s="1607"/>
    </row>
    <row r="48" spans="2:38" s="158" customFormat="1" ht="17.25" customHeight="1" x14ac:dyDescent="0.25">
      <c r="B48" s="1574" t="s">
        <v>769</v>
      </c>
      <c r="C48" s="1481"/>
      <c r="D48" s="1478"/>
      <c r="E48" s="1482"/>
      <c r="F48" s="1481"/>
      <c r="G48" s="1481"/>
      <c r="H48" s="1483"/>
      <c r="I48" s="1483"/>
      <c r="J48" s="1481"/>
      <c r="K48" s="1483"/>
      <c r="L48" s="1483"/>
      <c r="M48" s="1481"/>
      <c r="N48" s="1483"/>
      <c r="O48" s="1483"/>
      <c r="P48" s="1481"/>
      <c r="Q48" s="1483"/>
      <c r="R48" s="1483"/>
      <c r="S48" s="1481"/>
      <c r="T48" s="1483"/>
      <c r="U48" s="1483"/>
      <c r="V48" s="1484"/>
      <c r="W48" s="1483"/>
      <c r="X48" s="1483"/>
      <c r="Y48" s="1481"/>
      <c r="Z48" s="1483"/>
      <c r="AA48" s="1483"/>
      <c r="AB48" s="1481"/>
      <c r="AC48" s="1483"/>
      <c r="AD48" s="1483"/>
      <c r="AE48" s="1481"/>
      <c r="AF48" s="1483"/>
      <c r="AG48" s="1483"/>
      <c r="AH48" s="1481"/>
      <c r="AI48" s="1483"/>
      <c r="AJ48" s="1481"/>
    </row>
    <row r="49" spans="4:35" s="161" customFormat="1" ht="20.149999999999999" customHeight="1" x14ac:dyDescent="0.25">
      <c r="D49" s="6"/>
      <c r="E49" s="191"/>
      <c r="H49" s="186"/>
      <c r="I49" s="186"/>
      <c r="K49" s="186"/>
      <c r="L49" s="186"/>
      <c r="N49" s="186"/>
      <c r="O49" s="186"/>
      <c r="Q49" s="186"/>
      <c r="R49" s="186"/>
      <c r="T49" s="186"/>
      <c r="U49" s="186"/>
      <c r="V49" s="1466"/>
      <c r="W49" s="186"/>
      <c r="X49" s="186"/>
      <c r="Z49" s="186"/>
      <c r="AA49" s="186"/>
      <c r="AC49" s="186"/>
      <c r="AD49" s="186"/>
      <c r="AF49" s="186"/>
      <c r="AG49" s="186"/>
      <c r="AI49" s="186"/>
    </row>
    <row r="50" spans="4:35" s="161" customFormat="1" ht="20.149999999999999" customHeight="1" x14ac:dyDescent="0.25">
      <c r="D50" s="6"/>
      <c r="E50" s="191"/>
      <c r="H50" s="186"/>
      <c r="N50" s="186"/>
      <c r="O50" s="186"/>
      <c r="Q50" s="186"/>
      <c r="R50" s="186"/>
      <c r="T50" s="186"/>
      <c r="U50" s="186"/>
      <c r="V50" s="1466"/>
      <c r="W50" s="186"/>
      <c r="X50" s="186"/>
      <c r="Z50" s="186"/>
      <c r="AA50" s="186"/>
      <c r="AC50" s="186"/>
      <c r="AD50" s="186"/>
      <c r="AF50" s="186"/>
      <c r="AG50" s="186"/>
      <c r="AI50" s="186"/>
    </row>
  </sheetData>
  <sheetProtection selectLockedCells="1" selectUnlockedCells="1"/>
  <mergeCells count="26">
    <mergeCell ref="AE7:AG7"/>
    <mergeCell ref="AH7:AJ7"/>
    <mergeCell ref="M7:O7"/>
    <mergeCell ref="P7:R7"/>
    <mergeCell ref="B41:AL41"/>
    <mergeCell ref="S7:U7"/>
    <mergeCell ref="V7:X7"/>
    <mergeCell ref="Y7:AA7"/>
    <mergeCell ref="AB7:AD7"/>
    <mergeCell ref="B7:B8"/>
    <mergeCell ref="D7:D8"/>
    <mergeCell ref="E7:E8"/>
    <mergeCell ref="G7:I7"/>
    <mergeCell ref="J7:L7"/>
    <mergeCell ref="B44:AL44"/>
    <mergeCell ref="B47:AL47"/>
    <mergeCell ref="B36:AL36"/>
    <mergeCell ref="B37:AL37"/>
    <mergeCell ref="B38:AL38"/>
    <mergeCell ref="B39:AL39"/>
    <mergeCell ref="B40:AL40"/>
    <mergeCell ref="B2:L2"/>
    <mergeCell ref="B3:L3"/>
    <mergeCell ref="B4:L4"/>
    <mergeCell ref="B5:L5"/>
    <mergeCell ref="B6:L6"/>
  </mergeCells>
  <printOptions horizontalCentered="1"/>
  <pageMargins left="0" right="0" top="0.78740157480314965" bottom="0.59055118110236227" header="0" footer="0"/>
  <pageSetup scale="71" firstPageNumber="0" orientation="portrait" r:id="rId1"/>
  <headerFooter alignWithMargins="0"/>
  <ignoredErrors>
    <ignoredError sqref="J10" formula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K96"/>
  <sheetViews>
    <sheetView workbookViewId="0">
      <selection activeCell="I82" sqref="I82"/>
    </sheetView>
  </sheetViews>
  <sheetFormatPr baseColWidth="10" defaultColWidth="11.453125" defaultRowHeight="15" x14ac:dyDescent="0.3"/>
  <cols>
    <col min="1" max="1" width="11.453125" style="203"/>
    <col min="2" max="2" width="48.81640625" style="206" customWidth="1"/>
    <col min="3" max="3" width="14.26953125" style="206" customWidth="1"/>
    <col min="4" max="5" width="16.1796875" style="206" customWidth="1"/>
    <col min="6" max="6" width="22" style="206" customWidth="1"/>
    <col min="7" max="7" width="22.26953125" style="206" customWidth="1"/>
    <col min="8" max="8" width="16.81640625" style="1106" customWidth="1"/>
    <col min="9" max="9" width="18.1796875" style="1107" customWidth="1"/>
    <col min="10" max="10" width="21.1796875" style="207" customWidth="1"/>
    <col min="11" max="11" width="24.81640625" style="207" customWidth="1"/>
    <col min="12" max="16384" width="11.453125" style="207"/>
  </cols>
  <sheetData>
    <row r="1" spans="1:9" ht="20.25" customHeight="1" x14ac:dyDescent="0.35">
      <c r="B1" s="204"/>
      <c r="C1" s="1628" t="s">
        <v>0</v>
      </c>
      <c r="D1" s="1628"/>
      <c r="E1" s="1628"/>
      <c r="F1" s="204"/>
      <c r="G1" s="205" t="s">
        <v>215</v>
      </c>
    </row>
    <row r="2" spans="1:9" s="209" customFormat="1" ht="5.25" hidden="1" customHeight="1" x14ac:dyDescent="0.35">
      <c r="A2" s="203"/>
      <c r="B2" s="1628"/>
      <c r="C2" s="1628"/>
      <c r="D2" s="1628"/>
      <c r="E2" s="1628"/>
      <c r="F2" s="1628"/>
      <c r="G2" s="1628"/>
      <c r="H2" s="305"/>
      <c r="I2" s="1108"/>
    </row>
    <row r="3" spans="1:9" s="209" customFormat="1" ht="21" customHeight="1" x14ac:dyDescent="0.35">
      <c r="A3" s="203"/>
      <c r="B3" s="1628" t="s">
        <v>91</v>
      </c>
      <c r="C3" s="1628"/>
      <c r="D3" s="1628"/>
      <c r="E3" s="1628"/>
      <c r="F3" s="1628"/>
      <c r="G3" s="1628"/>
      <c r="H3" s="305"/>
      <c r="I3" s="1108"/>
    </row>
    <row r="4" spans="1:9" s="209" customFormat="1" ht="24.75" customHeight="1" x14ac:dyDescent="0.35">
      <c r="A4" s="203"/>
      <c r="B4" s="1629" t="s">
        <v>92</v>
      </c>
      <c r="C4" s="1629"/>
      <c r="D4" s="1629"/>
      <c r="E4" s="1629"/>
      <c r="F4" s="1629"/>
      <c r="G4" s="1629"/>
      <c r="H4" s="305"/>
      <c r="I4" s="1108"/>
    </row>
    <row r="5" spans="1:9" s="209" customFormat="1" ht="24.75" customHeight="1" x14ac:dyDescent="0.35">
      <c r="A5" s="203"/>
      <c r="B5" s="1629" t="s">
        <v>93</v>
      </c>
      <c r="C5" s="1630"/>
      <c r="D5" s="1630"/>
      <c r="E5" s="1630"/>
      <c r="F5" s="1630"/>
      <c r="G5" s="1630"/>
      <c r="H5" s="305"/>
      <c r="I5" s="1108"/>
    </row>
    <row r="6" spans="1:9" s="209" customFormat="1" ht="18.75" customHeight="1" x14ac:dyDescent="0.35">
      <c r="A6" s="203"/>
      <c r="B6" s="1627" t="s">
        <v>553</v>
      </c>
      <c r="C6" s="1627"/>
      <c r="D6" s="1627"/>
      <c r="E6" s="1627"/>
      <c r="F6" s="1627"/>
      <c r="G6" s="1627"/>
      <c r="H6" s="305"/>
      <c r="I6" s="1108"/>
    </row>
    <row r="7" spans="1:9" s="209" customFormat="1" ht="21.75" customHeight="1" x14ac:dyDescent="0.3">
      <c r="A7" s="203"/>
      <c r="B7" s="1624" t="s">
        <v>95</v>
      </c>
      <c r="C7" s="1624"/>
      <c r="D7" s="1624"/>
      <c r="E7" s="1624"/>
      <c r="F7" s="1624"/>
      <c r="G7" s="1624"/>
      <c r="H7" s="305"/>
      <c r="I7" s="1108"/>
    </row>
    <row r="8" spans="1:9" s="214" customFormat="1" ht="40.5" customHeight="1" x14ac:dyDescent="0.3">
      <c r="A8" s="210"/>
      <c r="B8" s="211" t="s">
        <v>96</v>
      </c>
      <c r="C8" s="212" t="s">
        <v>97</v>
      </c>
      <c r="D8" s="1625" t="s">
        <v>98</v>
      </c>
      <c r="E8" s="1625"/>
      <c r="F8" s="212" t="s">
        <v>99</v>
      </c>
      <c r="G8" s="212" t="s">
        <v>100</v>
      </c>
      <c r="H8" s="1149"/>
      <c r="I8" s="1150"/>
    </row>
    <row r="9" spans="1:9" s="214" customFormat="1" ht="28.5" customHeight="1" x14ac:dyDescent="0.3">
      <c r="A9" s="210"/>
      <c r="B9" s="211" t="s">
        <v>101</v>
      </c>
      <c r="C9" s="215"/>
      <c r="D9" s="215"/>
      <c r="E9" s="215"/>
      <c r="F9" s="216">
        <f>SUM(F13+F53)</f>
        <v>76840406.569999993</v>
      </c>
      <c r="G9" s="216">
        <f>SUM(G13+G53)</f>
        <v>79096190.189999998</v>
      </c>
      <c r="H9" s="1149"/>
      <c r="I9" s="1150"/>
    </row>
    <row r="10" spans="1:9" s="209" customFormat="1" ht="27.75" hidden="1" customHeight="1" x14ac:dyDescent="0.3">
      <c r="A10" s="203"/>
      <c r="B10" s="217"/>
      <c r="C10" s="218"/>
      <c r="D10" s="219"/>
      <c r="E10" s="219"/>
      <c r="F10" s="220"/>
      <c r="G10" s="220"/>
      <c r="H10" s="305"/>
      <c r="I10" s="1108"/>
    </row>
    <row r="11" spans="1:9" s="209" customFormat="1" ht="37.5" hidden="1" customHeight="1" x14ac:dyDescent="0.3">
      <c r="A11" s="203"/>
      <c r="B11" s="221"/>
      <c r="C11" s="211"/>
      <c r="D11" s="219"/>
      <c r="E11" s="219"/>
      <c r="F11" s="222"/>
      <c r="G11" s="222"/>
      <c r="H11" s="305"/>
      <c r="I11" s="1108"/>
    </row>
    <row r="12" spans="1:9" s="209" customFormat="1" ht="37.5" hidden="1" customHeight="1" x14ac:dyDescent="0.3">
      <c r="A12" s="203"/>
      <c r="B12" s="221"/>
      <c r="C12" s="211"/>
      <c r="D12" s="219"/>
      <c r="E12" s="219"/>
      <c r="F12" s="222"/>
      <c r="G12" s="222"/>
      <c r="H12" s="305"/>
      <c r="I12" s="1108"/>
    </row>
    <row r="13" spans="1:9" s="209" customFormat="1" ht="21" customHeight="1" x14ac:dyDescent="0.3">
      <c r="A13" s="203"/>
      <c r="B13" s="217" t="s">
        <v>102</v>
      </c>
      <c r="C13" s="218"/>
      <c r="D13" s="219"/>
      <c r="E13" s="219"/>
      <c r="F13" s="216">
        <f>SUM(F17+F24+F33+F35+F43+F47+F49+F51+F14)</f>
        <v>72555862.260000005</v>
      </c>
      <c r="G13" s="216">
        <f>SUM(G17+G24+G33+G35+G43+G47+G49+G51+G14)</f>
        <v>74683519.819999993</v>
      </c>
      <c r="H13" s="223"/>
      <c r="I13" s="1151"/>
    </row>
    <row r="14" spans="1:9" s="209" customFormat="1" ht="21" hidden="1" customHeight="1" x14ac:dyDescent="0.3">
      <c r="A14" s="203"/>
      <c r="B14" s="225"/>
      <c r="C14" s="226"/>
      <c r="D14" s="219"/>
      <c r="E14" s="219"/>
      <c r="F14" s="216">
        <f>SUM(F15:F16)</f>
        <v>0</v>
      </c>
      <c r="G14" s="216">
        <f>SUM(G15:G16)</f>
        <v>0</v>
      </c>
      <c r="H14" s="223"/>
      <c r="I14" s="1151"/>
    </row>
    <row r="15" spans="1:9" s="209" customFormat="1" ht="21" hidden="1" customHeight="1" x14ac:dyDescent="0.3">
      <c r="A15" s="203"/>
      <c r="B15" s="227"/>
      <c r="C15" s="228"/>
      <c r="D15" s="229"/>
      <c r="E15" s="229"/>
      <c r="F15" s="230"/>
      <c r="G15" s="231"/>
      <c r="H15" s="223"/>
      <c r="I15" s="1151"/>
    </row>
    <row r="16" spans="1:9" s="209" customFormat="1" ht="21" hidden="1" customHeight="1" x14ac:dyDescent="0.3">
      <c r="A16" s="203"/>
      <c r="B16" s="227"/>
      <c r="C16" s="228"/>
      <c r="D16" s="229"/>
      <c r="E16" s="229"/>
      <c r="F16" s="230"/>
      <c r="G16" s="231"/>
      <c r="H16" s="223"/>
      <c r="I16" s="1151"/>
    </row>
    <row r="17" spans="1:9" s="214" customFormat="1" ht="21" customHeight="1" x14ac:dyDescent="0.3">
      <c r="A17" s="210"/>
      <c r="B17" s="225" t="s">
        <v>103</v>
      </c>
      <c r="C17" s="226"/>
      <c r="D17" s="219"/>
      <c r="E17" s="219"/>
      <c r="F17" s="216">
        <f>SUM(F18:F23)</f>
        <v>699055.35</v>
      </c>
      <c r="G17" s="216">
        <f>SUM(G18:G23)</f>
        <v>660371.89</v>
      </c>
      <c r="H17" s="305"/>
      <c r="I17" s="1108"/>
    </row>
    <row r="18" spans="1:9" s="214" customFormat="1" ht="21" customHeight="1" x14ac:dyDescent="0.3">
      <c r="A18" s="210"/>
      <c r="B18" s="227" t="s">
        <v>104</v>
      </c>
      <c r="C18" s="228">
        <v>7.125</v>
      </c>
      <c r="D18" s="229">
        <v>39841</v>
      </c>
      <c r="E18" s="229">
        <v>46051</v>
      </c>
      <c r="F18" s="230">
        <v>181170.4</v>
      </c>
      <c r="G18" s="231">
        <v>174829.44</v>
      </c>
      <c r="H18" s="1123">
        <f>F18*C18/100</f>
        <v>12908.39</v>
      </c>
      <c r="I18" s="1108"/>
    </row>
    <row r="19" spans="1:9" s="214" customFormat="1" ht="21" customHeight="1" x14ac:dyDescent="0.3">
      <c r="A19" s="210"/>
      <c r="B19" s="227" t="s">
        <v>105</v>
      </c>
      <c r="C19" s="228">
        <v>7.125</v>
      </c>
      <c r="D19" s="229">
        <v>39841</v>
      </c>
      <c r="E19" s="229">
        <v>46051</v>
      </c>
      <c r="F19" s="230">
        <v>92123.23</v>
      </c>
      <c r="G19" s="231">
        <v>88898.92</v>
      </c>
      <c r="H19" s="1123">
        <f t="shared" ref="H19:H82" si="0">F19*C19/100</f>
        <v>6563.78</v>
      </c>
      <c r="I19" s="1108"/>
    </row>
    <row r="20" spans="1:9" s="214" customFormat="1" ht="21" customHeight="1" x14ac:dyDescent="0.3">
      <c r="A20" s="210"/>
      <c r="B20" s="227" t="s">
        <v>106</v>
      </c>
      <c r="C20" s="228">
        <v>7.125</v>
      </c>
      <c r="D20" s="229">
        <v>39736</v>
      </c>
      <c r="E20" s="229">
        <v>46051</v>
      </c>
      <c r="F20" s="230">
        <v>130294.44</v>
      </c>
      <c r="G20" s="231">
        <v>123779.72</v>
      </c>
      <c r="H20" s="1123">
        <f t="shared" si="0"/>
        <v>9283.48</v>
      </c>
      <c r="I20" s="1108"/>
    </row>
    <row r="21" spans="1:9" s="214" customFormat="1" ht="21" customHeight="1" x14ac:dyDescent="0.3">
      <c r="A21" s="210"/>
      <c r="B21" s="227" t="s">
        <v>107</v>
      </c>
      <c r="C21" s="228">
        <v>7.125</v>
      </c>
      <c r="D21" s="229">
        <v>39743</v>
      </c>
      <c r="E21" s="229">
        <v>46051</v>
      </c>
      <c r="F21" s="230">
        <v>137699.68</v>
      </c>
      <c r="G21" s="231">
        <v>125306.71</v>
      </c>
      <c r="H21" s="1123">
        <f t="shared" si="0"/>
        <v>9811.1</v>
      </c>
      <c r="I21" s="1108"/>
    </row>
    <row r="22" spans="1:9" s="214" customFormat="1" ht="21" customHeight="1" x14ac:dyDescent="0.3">
      <c r="A22" s="210"/>
      <c r="B22" s="227" t="s">
        <v>108</v>
      </c>
      <c r="C22" s="228">
        <v>7.125</v>
      </c>
      <c r="D22" s="229">
        <v>39742</v>
      </c>
      <c r="E22" s="229">
        <v>46051</v>
      </c>
      <c r="F22" s="230">
        <v>89307.28</v>
      </c>
      <c r="G22" s="231">
        <v>81492.899999999994</v>
      </c>
      <c r="H22" s="1123">
        <f t="shared" si="0"/>
        <v>6363.14</v>
      </c>
      <c r="I22" s="1108"/>
    </row>
    <row r="23" spans="1:9" s="214" customFormat="1" ht="21" customHeight="1" x14ac:dyDescent="0.3">
      <c r="A23" s="210"/>
      <c r="B23" s="227" t="s">
        <v>109</v>
      </c>
      <c r="C23" s="228">
        <v>7.125</v>
      </c>
      <c r="D23" s="229">
        <v>39841</v>
      </c>
      <c r="E23" s="229">
        <v>46051</v>
      </c>
      <c r="F23" s="230">
        <v>68460.320000000007</v>
      </c>
      <c r="G23" s="231">
        <v>66064.2</v>
      </c>
      <c r="H23" s="1123">
        <f t="shared" si="0"/>
        <v>4877.8</v>
      </c>
      <c r="I23" s="1108"/>
    </row>
    <row r="24" spans="1:9" s="214" customFormat="1" ht="21" customHeight="1" x14ac:dyDescent="0.3">
      <c r="A24" s="210"/>
      <c r="B24" s="225" t="s">
        <v>110</v>
      </c>
      <c r="C24" s="233"/>
      <c r="D24" s="219"/>
      <c r="E24" s="219"/>
      <c r="F24" s="216">
        <f>SUM(F25:F32)</f>
        <v>1516234.73</v>
      </c>
      <c r="G24" s="216">
        <f>SUM(G25:G32)</f>
        <v>1515465.52</v>
      </c>
      <c r="H24" s="1123"/>
      <c r="I24" s="1108"/>
    </row>
    <row r="25" spans="1:9" s="209" customFormat="1" ht="21" customHeight="1" x14ac:dyDescent="0.3">
      <c r="A25" s="203"/>
      <c r="B25" s="227" t="s">
        <v>111</v>
      </c>
      <c r="C25" s="234">
        <v>6.7</v>
      </c>
      <c r="D25" s="229">
        <v>39636</v>
      </c>
      <c r="E25" s="229">
        <v>49700</v>
      </c>
      <c r="F25" s="230">
        <v>560000</v>
      </c>
      <c r="G25" s="231">
        <v>569800</v>
      </c>
      <c r="H25" s="1123">
        <f t="shared" si="0"/>
        <v>37520</v>
      </c>
      <c r="I25" s="1108"/>
    </row>
    <row r="26" spans="1:9" s="209" customFormat="1" ht="21" customHeight="1" x14ac:dyDescent="0.3">
      <c r="A26" s="203"/>
      <c r="B26" s="227" t="s">
        <v>112</v>
      </c>
      <c r="C26" s="234">
        <v>6.7</v>
      </c>
      <c r="D26" s="229">
        <v>40218</v>
      </c>
      <c r="E26" s="229">
        <v>49700</v>
      </c>
      <c r="F26" s="230">
        <v>23845.54</v>
      </c>
      <c r="G26" s="231">
        <v>24322.45</v>
      </c>
      <c r="H26" s="1123">
        <f t="shared" si="0"/>
        <v>1597.65</v>
      </c>
      <c r="I26" s="1108"/>
    </row>
    <row r="27" spans="1:9" s="214" customFormat="1" ht="21" customHeight="1" x14ac:dyDescent="0.3">
      <c r="A27" s="210"/>
      <c r="B27" s="227" t="s">
        <v>113</v>
      </c>
      <c r="C27" s="234">
        <v>6.7</v>
      </c>
      <c r="D27" s="229">
        <v>39841</v>
      </c>
      <c r="E27" s="229">
        <v>49700</v>
      </c>
      <c r="F27" s="230">
        <v>80049.320000000007</v>
      </c>
      <c r="G27" s="231">
        <v>73245.13</v>
      </c>
      <c r="H27" s="1123">
        <f t="shared" si="0"/>
        <v>5363.3</v>
      </c>
      <c r="I27" s="1108"/>
    </row>
    <row r="28" spans="1:9" s="214" customFormat="1" ht="21" customHeight="1" x14ac:dyDescent="0.3">
      <c r="A28" s="210"/>
      <c r="B28" s="227" t="s">
        <v>114</v>
      </c>
      <c r="C28" s="234">
        <v>6.7</v>
      </c>
      <c r="D28" s="229">
        <v>39911</v>
      </c>
      <c r="E28" s="229">
        <v>49700</v>
      </c>
      <c r="F28" s="230">
        <v>159738.91</v>
      </c>
      <c r="G28" s="231">
        <v>142566.98000000001</v>
      </c>
      <c r="H28" s="1123">
        <f t="shared" si="0"/>
        <v>10702.51</v>
      </c>
      <c r="I28" s="1108"/>
    </row>
    <row r="29" spans="1:9" s="214" customFormat="1" ht="21" customHeight="1" x14ac:dyDescent="0.3">
      <c r="A29" s="210"/>
      <c r="B29" s="227" t="s">
        <v>115</v>
      </c>
      <c r="C29" s="234">
        <v>6.7</v>
      </c>
      <c r="D29" s="229">
        <v>39976</v>
      </c>
      <c r="E29" s="229">
        <v>49700</v>
      </c>
      <c r="F29" s="230">
        <v>101700.96</v>
      </c>
      <c r="G29" s="231">
        <v>101192.46</v>
      </c>
      <c r="H29" s="1123">
        <f t="shared" si="0"/>
        <v>6813.96</v>
      </c>
      <c r="I29" s="1108"/>
    </row>
    <row r="30" spans="1:9" s="214" customFormat="1" ht="21" customHeight="1" x14ac:dyDescent="0.3">
      <c r="A30" s="210"/>
      <c r="B30" s="227" t="s">
        <v>116</v>
      </c>
      <c r="C30" s="234">
        <v>6.7</v>
      </c>
      <c r="D30" s="229">
        <v>40056</v>
      </c>
      <c r="E30" s="229">
        <v>49700</v>
      </c>
      <c r="F30" s="230">
        <v>159000</v>
      </c>
      <c r="G30" s="231">
        <v>163372.5</v>
      </c>
      <c r="H30" s="1123">
        <f t="shared" si="0"/>
        <v>10653</v>
      </c>
      <c r="I30" s="1108"/>
    </row>
    <row r="31" spans="1:9" s="214" customFormat="1" ht="21" customHeight="1" x14ac:dyDescent="0.3">
      <c r="A31" s="210"/>
      <c r="B31" s="227" t="s">
        <v>117</v>
      </c>
      <c r="C31" s="234">
        <v>6.7</v>
      </c>
      <c r="D31" s="229">
        <v>40218</v>
      </c>
      <c r="E31" s="229">
        <v>49700</v>
      </c>
      <c r="F31" s="230">
        <v>217900</v>
      </c>
      <c r="G31" s="231">
        <v>222258</v>
      </c>
      <c r="H31" s="1123">
        <f t="shared" si="0"/>
        <v>14599.3</v>
      </c>
      <c r="I31" s="1108"/>
    </row>
    <row r="32" spans="1:9" s="214" customFormat="1" ht="21" customHeight="1" x14ac:dyDescent="0.3">
      <c r="A32" s="210"/>
      <c r="B32" s="227" t="s">
        <v>118</v>
      </c>
      <c r="C32" s="234">
        <v>6.7</v>
      </c>
      <c r="D32" s="229">
        <v>40218</v>
      </c>
      <c r="E32" s="229">
        <v>49700</v>
      </c>
      <c r="F32" s="230">
        <v>214000</v>
      </c>
      <c r="G32" s="231">
        <v>218708</v>
      </c>
      <c r="H32" s="1123">
        <f t="shared" si="0"/>
        <v>14338</v>
      </c>
      <c r="I32" s="1108"/>
    </row>
    <row r="33" spans="1:11" s="214" customFormat="1" ht="21" customHeight="1" x14ac:dyDescent="0.3">
      <c r="A33" s="210"/>
      <c r="B33" s="225" t="s">
        <v>119</v>
      </c>
      <c r="C33" s="233"/>
      <c r="D33" s="219"/>
      <c r="E33" s="219"/>
      <c r="F33" s="216">
        <f>SUM(F34)</f>
        <v>6597156.4000000004</v>
      </c>
      <c r="G33" s="216">
        <f>SUM(G34)</f>
        <v>7472349.8300000001</v>
      </c>
      <c r="H33" s="1123"/>
      <c r="I33" s="1108"/>
    </row>
    <row r="34" spans="1:11" s="214" customFormat="1" ht="21" customHeight="1" x14ac:dyDescent="0.3">
      <c r="A34" s="210"/>
      <c r="B34" s="227" t="s">
        <v>120</v>
      </c>
      <c r="C34" s="234">
        <v>4.3</v>
      </c>
      <c r="D34" s="229">
        <v>43795</v>
      </c>
      <c r="E34" s="229">
        <v>56003</v>
      </c>
      <c r="F34" s="230">
        <v>6597156.4000000004</v>
      </c>
      <c r="G34" s="231">
        <v>7472349.8300000001</v>
      </c>
      <c r="H34" s="1123">
        <f t="shared" si="0"/>
        <v>283677.73</v>
      </c>
      <c r="I34" s="1108">
        <f>H35/J34</f>
        <v>4.5100000000000001E-2</v>
      </c>
      <c r="J34" s="1152">
        <f>G17+G24+G33</f>
        <v>9648187.2400000002</v>
      </c>
    </row>
    <row r="35" spans="1:11" s="209" customFormat="1" ht="21" customHeight="1" x14ac:dyDescent="0.3">
      <c r="A35" s="203"/>
      <c r="B35" s="225" t="s">
        <v>121</v>
      </c>
      <c r="C35" s="226"/>
      <c r="D35" s="235"/>
      <c r="E35" s="235"/>
      <c r="F35" s="236">
        <f>SUM(F36+F40)</f>
        <v>29661950.699999999</v>
      </c>
      <c r="G35" s="236">
        <f>SUM(G36+G40)</f>
        <v>30951392.41</v>
      </c>
      <c r="H35" s="305">
        <f>SUM(H18:H34)</f>
        <v>435073.14</v>
      </c>
      <c r="I35" s="1108">
        <f>H35/SUM(G17+G24+G33)</f>
        <v>4.5100000000000001E-2</v>
      </c>
      <c r="J35" s="209" t="s">
        <v>591</v>
      </c>
    </row>
    <row r="36" spans="1:11" s="209" customFormat="1" ht="21" customHeight="1" x14ac:dyDescent="0.3">
      <c r="A36" s="203"/>
      <c r="B36" s="211" t="s">
        <v>124</v>
      </c>
      <c r="C36" s="234"/>
      <c r="D36" s="229"/>
      <c r="E36" s="229"/>
      <c r="F36" s="222">
        <f>SUM(F37:F39)</f>
        <v>17269987.920000002</v>
      </c>
      <c r="G36" s="222">
        <f>SUM(G37:G39)</f>
        <v>18565105.52</v>
      </c>
      <c r="H36" s="1123"/>
      <c r="I36" s="1108"/>
    </row>
    <row r="37" spans="1:11" s="209" customFormat="1" ht="21" customHeight="1" x14ac:dyDescent="0.3">
      <c r="A37" s="203"/>
      <c r="B37" s="227" t="s">
        <v>125</v>
      </c>
      <c r="C37" s="234">
        <v>4.95</v>
      </c>
      <c r="D37" s="229">
        <v>42573</v>
      </c>
      <c r="E37" s="229">
        <v>45436</v>
      </c>
      <c r="F37" s="230">
        <v>6525729.8700000001</v>
      </c>
      <c r="G37" s="231">
        <v>7034736.7999999998</v>
      </c>
      <c r="H37" s="1123">
        <f t="shared" si="0"/>
        <v>323023.63</v>
      </c>
      <c r="I37" s="1108"/>
    </row>
    <row r="38" spans="1:11" s="209" customFormat="1" ht="21" customHeight="1" x14ac:dyDescent="0.3">
      <c r="A38" s="203"/>
      <c r="B38" s="227" t="s">
        <v>126</v>
      </c>
      <c r="C38" s="234">
        <v>4.95</v>
      </c>
      <c r="D38" s="229">
        <v>43385</v>
      </c>
      <c r="E38" s="229">
        <v>45436</v>
      </c>
      <c r="F38" s="230">
        <v>2829590.3</v>
      </c>
      <c r="G38" s="231">
        <v>3007854.49</v>
      </c>
      <c r="H38" s="1123">
        <f t="shared" si="0"/>
        <v>140064.72</v>
      </c>
      <c r="I38" s="1108"/>
    </row>
    <row r="39" spans="1:11" s="209" customFormat="1" ht="21" customHeight="1" x14ac:dyDescent="0.3">
      <c r="A39" s="203"/>
      <c r="B39" s="227" t="s">
        <v>127</v>
      </c>
      <c r="C39" s="234">
        <v>4.95</v>
      </c>
      <c r="D39" s="229">
        <v>43630</v>
      </c>
      <c r="E39" s="229">
        <v>45436</v>
      </c>
      <c r="F39" s="230">
        <v>7914667.75</v>
      </c>
      <c r="G39" s="231">
        <v>8522514.2300000004</v>
      </c>
      <c r="H39" s="1123">
        <f t="shared" si="0"/>
        <v>391776.05</v>
      </c>
      <c r="I39" s="1108"/>
    </row>
    <row r="40" spans="1:11" s="209" customFormat="1" ht="21" customHeight="1" x14ac:dyDescent="0.3">
      <c r="A40" s="203"/>
      <c r="B40" s="211" t="s">
        <v>128</v>
      </c>
      <c r="C40" s="238"/>
      <c r="D40" s="219"/>
      <c r="E40" s="219"/>
      <c r="F40" s="239">
        <f>SUM(F41:F42)</f>
        <v>12391962.779999999</v>
      </c>
      <c r="G40" s="239">
        <f>SUM(G41:G42)</f>
        <v>12386286.890000001</v>
      </c>
      <c r="H40" s="1123"/>
      <c r="I40" s="1108"/>
    </row>
    <row r="41" spans="1:11" s="209" customFormat="1" ht="21" customHeight="1" x14ac:dyDescent="0.3">
      <c r="A41" s="203"/>
      <c r="B41" s="240" t="s">
        <v>129</v>
      </c>
      <c r="C41" s="241">
        <v>3.3620000000000001</v>
      </c>
      <c r="D41" s="229">
        <v>44377</v>
      </c>
      <c r="E41" s="229">
        <v>48029</v>
      </c>
      <c r="F41" s="242">
        <v>10500000</v>
      </c>
      <c r="G41" s="242">
        <v>10500000</v>
      </c>
      <c r="H41" s="1123">
        <f t="shared" si="0"/>
        <v>353010</v>
      </c>
      <c r="I41" s="1108"/>
    </row>
    <row r="42" spans="1:11" s="209" customFormat="1" ht="21" customHeight="1" x14ac:dyDescent="0.3">
      <c r="A42" s="203"/>
      <c r="B42" s="240" t="s">
        <v>130</v>
      </c>
      <c r="C42" s="241">
        <v>3.3620000000000001</v>
      </c>
      <c r="D42" s="229">
        <v>44525</v>
      </c>
      <c r="E42" s="229">
        <v>48029</v>
      </c>
      <c r="F42" s="242">
        <v>1891962.78</v>
      </c>
      <c r="G42" s="242">
        <v>1886286.89</v>
      </c>
      <c r="H42" s="1123">
        <f t="shared" si="0"/>
        <v>63607.79</v>
      </c>
      <c r="I42" s="1108"/>
    </row>
    <row r="43" spans="1:11" s="209" customFormat="1" ht="21" customHeight="1" x14ac:dyDescent="0.3">
      <c r="A43" s="203"/>
      <c r="B43" s="225" t="s">
        <v>131</v>
      </c>
      <c r="C43" s="226"/>
      <c r="D43" s="219"/>
      <c r="E43" s="219"/>
      <c r="F43" s="236">
        <f>SUM(F44:F46)</f>
        <v>20949489.780000001</v>
      </c>
      <c r="G43" s="236">
        <f>SUM(G44:G46)</f>
        <v>20689533.27</v>
      </c>
      <c r="H43" s="305">
        <f>SUM(H37:H42)</f>
        <v>1271482.19</v>
      </c>
      <c r="I43" s="1153">
        <f>H43/SUM(G40+G35)</f>
        <v>2.93E-2</v>
      </c>
      <c r="J43" s="277">
        <f>G36+G40</f>
        <v>30951392.41</v>
      </c>
      <c r="K43" s="244" t="s">
        <v>613</v>
      </c>
    </row>
    <row r="44" spans="1:11" s="209" customFormat="1" ht="21" customHeight="1" x14ac:dyDescent="0.3">
      <c r="A44" s="203"/>
      <c r="B44" s="237" t="s">
        <v>132</v>
      </c>
      <c r="C44" s="245">
        <v>3</v>
      </c>
      <c r="D44" s="229">
        <v>43245</v>
      </c>
      <c r="E44" s="229">
        <v>45198</v>
      </c>
      <c r="F44" s="230">
        <v>3077019.38</v>
      </c>
      <c r="G44" s="231">
        <v>3054249.44</v>
      </c>
      <c r="H44" s="305">
        <f t="shared" si="0"/>
        <v>92310.58</v>
      </c>
      <c r="I44" s="1108"/>
    </row>
    <row r="45" spans="1:11" s="209" customFormat="1" ht="21" customHeight="1" x14ac:dyDescent="0.3">
      <c r="A45" s="203"/>
      <c r="B45" s="237" t="s">
        <v>133</v>
      </c>
      <c r="C45" s="245">
        <v>3</v>
      </c>
      <c r="D45" s="229">
        <v>43336</v>
      </c>
      <c r="E45" s="229">
        <v>45198</v>
      </c>
      <c r="F45" s="246">
        <v>6866773.7699999996</v>
      </c>
      <c r="G45" s="247">
        <f>F45*0.9895</f>
        <v>6794672.6500000004</v>
      </c>
      <c r="H45" s="305">
        <f t="shared" si="0"/>
        <v>206003.21</v>
      </c>
      <c r="I45" s="1108"/>
    </row>
    <row r="46" spans="1:11" s="209" customFormat="1" ht="21" customHeight="1" x14ac:dyDescent="0.3">
      <c r="A46" s="203"/>
      <c r="B46" s="237" t="s">
        <v>134</v>
      </c>
      <c r="C46" s="245">
        <v>3</v>
      </c>
      <c r="D46" s="229">
        <v>43427</v>
      </c>
      <c r="E46" s="229">
        <v>45198</v>
      </c>
      <c r="F46" s="246">
        <v>11005696.630000001</v>
      </c>
      <c r="G46" s="247">
        <v>10840611.18</v>
      </c>
      <c r="H46" s="305">
        <f t="shared" si="0"/>
        <v>330170.90000000002</v>
      </c>
      <c r="I46" s="1108"/>
    </row>
    <row r="47" spans="1:11" s="209" customFormat="1" ht="21" customHeight="1" x14ac:dyDescent="0.3">
      <c r="A47" s="203"/>
      <c r="B47" s="225" t="s">
        <v>135</v>
      </c>
      <c r="C47" s="226"/>
      <c r="D47" s="219"/>
      <c r="E47" s="219"/>
      <c r="F47" s="236">
        <f>SUM(F48)</f>
        <v>239183.07</v>
      </c>
      <c r="G47" s="236">
        <f>SUM(G48)</f>
        <v>238817.12</v>
      </c>
      <c r="H47" s="305"/>
      <c r="I47" s="1108"/>
      <c r="J47" s="277">
        <f>G43+G47+G49</f>
        <v>30316062.93</v>
      </c>
    </row>
    <row r="48" spans="1:11" s="209" customFormat="1" ht="21" customHeight="1" x14ac:dyDescent="0.3">
      <c r="A48" s="203"/>
      <c r="B48" s="237" t="s">
        <v>136</v>
      </c>
      <c r="C48" s="245">
        <v>3.75</v>
      </c>
      <c r="D48" s="229">
        <v>43572</v>
      </c>
      <c r="E48" s="229">
        <v>46129</v>
      </c>
      <c r="F48" s="246">
        <v>239183.07</v>
      </c>
      <c r="G48" s="247">
        <v>238817.12</v>
      </c>
      <c r="H48" s="305">
        <f t="shared" si="0"/>
        <v>8969.3700000000008</v>
      </c>
      <c r="I48" s="1108"/>
    </row>
    <row r="49" spans="1:11" s="209" customFormat="1" ht="21" customHeight="1" x14ac:dyDescent="0.3">
      <c r="A49" s="203"/>
      <c r="B49" s="225" t="s">
        <v>137</v>
      </c>
      <c r="C49" s="226"/>
      <c r="D49" s="219"/>
      <c r="E49" s="219"/>
      <c r="F49" s="236">
        <f>SUM(F50)</f>
        <v>9124914.9900000002</v>
      </c>
      <c r="G49" s="236">
        <f>SUM(G50)</f>
        <v>9387712.5399999991</v>
      </c>
      <c r="H49" s="305"/>
      <c r="I49" s="1108"/>
    </row>
    <row r="50" spans="1:11" s="209" customFormat="1" ht="21" customHeight="1" x14ac:dyDescent="0.3">
      <c r="A50" s="203"/>
      <c r="B50" s="237" t="s">
        <v>138</v>
      </c>
      <c r="C50" s="245">
        <v>2.85</v>
      </c>
      <c r="D50" s="229">
        <v>44340</v>
      </c>
      <c r="E50" s="229">
        <v>46565</v>
      </c>
      <c r="F50" s="246">
        <v>9124914.9900000002</v>
      </c>
      <c r="G50" s="247">
        <v>9387712.5399999991</v>
      </c>
      <c r="H50" s="305">
        <f t="shared" si="0"/>
        <v>260060.08</v>
      </c>
      <c r="I50" s="1108">
        <f>H51/J50</f>
        <v>2.9600000000000001E-2</v>
      </c>
      <c r="J50" s="277">
        <f>G43+G47+G49</f>
        <v>30316062.93</v>
      </c>
      <c r="K50" s="209" t="s">
        <v>614</v>
      </c>
    </row>
    <row r="51" spans="1:11" s="209" customFormat="1" ht="21" customHeight="1" x14ac:dyDescent="0.3">
      <c r="A51" s="203"/>
      <c r="B51" s="248" t="s">
        <v>139</v>
      </c>
      <c r="C51" s="226"/>
      <c r="D51" s="235"/>
      <c r="E51" s="235"/>
      <c r="F51" s="249">
        <f>SUM(F52)</f>
        <v>3767877.24</v>
      </c>
      <c r="G51" s="220">
        <f>SUM(G52)</f>
        <v>3767877.24</v>
      </c>
      <c r="H51" s="305">
        <f>SUM(H44:H50)</f>
        <v>897514.14</v>
      </c>
      <c r="I51" s="1108"/>
    </row>
    <row r="52" spans="1:11" s="209" customFormat="1" ht="39.75" customHeight="1" x14ac:dyDescent="0.3">
      <c r="A52" s="203"/>
      <c r="B52" s="250" t="s">
        <v>140</v>
      </c>
      <c r="C52" s="234">
        <v>3</v>
      </c>
      <c r="D52" s="229">
        <v>43712</v>
      </c>
      <c r="E52" s="229">
        <v>47365</v>
      </c>
      <c r="F52" s="230">
        <v>3767877.24</v>
      </c>
      <c r="G52" s="231">
        <v>3767877.24</v>
      </c>
      <c r="H52" s="1123">
        <f t="shared" si="0"/>
        <v>113036.32</v>
      </c>
      <c r="I52" s="1108"/>
    </row>
    <row r="53" spans="1:11" s="209" customFormat="1" ht="21" customHeight="1" x14ac:dyDescent="0.3">
      <c r="A53" s="203"/>
      <c r="B53" s="217" t="s">
        <v>141</v>
      </c>
      <c r="C53" s="218"/>
      <c r="D53" s="219"/>
      <c r="E53" s="219"/>
      <c r="F53" s="216">
        <f>SUM(F57+F64+F72+F74+F81+F83+F85+F87+F54)</f>
        <v>4284544.3099999996</v>
      </c>
      <c r="G53" s="216">
        <f>SUM(G57+G64+G72+G74+G81+G83+G85+G87+G54)</f>
        <v>4412670.37</v>
      </c>
      <c r="H53" s="1123"/>
      <c r="I53" s="1108"/>
    </row>
    <row r="54" spans="1:11" s="209" customFormat="1" ht="21" hidden="1" customHeight="1" x14ac:dyDescent="0.3">
      <c r="A54" s="203"/>
      <c r="B54" s="225"/>
      <c r="C54" s="226"/>
      <c r="D54" s="219"/>
      <c r="E54" s="219"/>
      <c r="F54" s="216"/>
      <c r="G54" s="216"/>
      <c r="H54" s="1123">
        <f t="shared" si="0"/>
        <v>0</v>
      </c>
      <c r="I54" s="1108"/>
    </row>
    <row r="55" spans="1:11" s="209" customFormat="1" ht="21" hidden="1" customHeight="1" x14ac:dyDescent="0.3">
      <c r="A55" s="203"/>
      <c r="B55" s="227"/>
      <c r="C55" s="228"/>
      <c r="D55" s="229"/>
      <c r="E55" s="229"/>
      <c r="F55" s="230"/>
      <c r="G55" s="231"/>
      <c r="H55" s="1123">
        <f t="shared" si="0"/>
        <v>0</v>
      </c>
      <c r="I55" s="1108"/>
    </row>
    <row r="56" spans="1:11" s="209" customFormat="1" ht="21" hidden="1" customHeight="1" x14ac:dyDescent="0.3">
      <c r="A56" s="203"/>
      <c r="B56" s="227"/>
      <c r="C56" s="228"/>
      <c r="D56" s="229"/>
      <c r="E56" s="229"/>
      <c r="F56" s="230"/>
      <c r="G56" s="231"/>
      <c r="H56" s="1123">
        <f t="shared" si="0"/>
        <v>0</v>
      </c>
      <c r="I56" s="1108"/>
    </row>
    <row r="57" spans="1:11" ht="21" customHeight="1" x14ac:dyDescent="0.3">
      <c r="B57" s="225" t="s">
        <v>142</v>
      </c>
      <c r="C57" s="226"/>
      <c r="D57" s="219"/>
      <c r="E57" s="219"/>
      <c r="F57" s="220">
        <f>SUM(F58:F63)</f>
        <v>68609.259999999995</v>
      </c>
      <c r="G57" s="220">
        <f>SUM(G58:G63)</f>
        <v>64578.44</v>
      </c>
      <c r="H57" s="1123"/>
    </row>
    <row r="58" spans="1:11" ht="21" customHeight="1" x14ac:dyDescent="0.3">
      <c r="B58" s="227" t="s">
        <v>143</v>
      </c>
      <c r="C58" s="228">
        <v>7.125</v>
      </c>
      <c r="D58" s="229">
        <v>39675</v>
      </c>
      <c r="E58" s="229">
        <v>46051</v>
      </c>
      <c r="F58" s="230">
        <v>17867.39</v>
      </c>
      <c r="G58" s="231">
        <v>16974.02</v>
      </c>
      <c r="H58" s="1123">
        <f t="shared" si="0"/>
        <v>1273.05</v>
      </c>
    </row>
    <row r="59" spans="1:11" ht="21" customHeight="1" x14ac:dyDescent="0.3">
      <c r="B59" s="227" t="s">
        <v>144</v>
      </c>
      <c r="C59" s="228">
        <v>7.125</v>
      </c>
      <c r="D59" s="229">
        <v>39743</v>
      </c>
      <c r="E59" s="229">
        <v>46051</v>
      </c>
      <c r="F59" s="230">
        <v>14896.47</v>
      </c>
      <c r="G59" s="231">
        <v>13555.79</v>
      </c>
      <c r="H59" s="1123">
        <f t="shared" si="0"/>
        <v>1061.3699999999999</v>
      </c>
    </row>
    <row r="60" spans="1:11" ht="21" customHeight="1" x14ac:dyDescent="0.3">
      <c r="B60" s="227" t="s">
        <v>145</v>
      </c>
      <c r="C60" s="228">
        <v>7.125</v>
      </c>
      <c r="D60" s="229">
        <v>39742</v>
      </c>
      <c r="E60" s="229">
        <v>46051</v>
      </c>
      <c r="F60" s="230">
        <v>10327.24</v>
      </c>
      <c r="G60" s="231">
        <v>9423.61</v>
      </c>
      <c r="H60" s="1123">
        <f t="shared" si="0"/>
        <v>735.82</v>
      </c>
    </row>
    <row r="61" spans="1:11" ht="21" customHeight="1" x14ac:dyDescent="0.3">
      <c r="B61" s="227" t="s">
        <v>146</v>
      </c>
      <c r="C61" s="228">
        <v>7.125</v>
      </c>
      <c r="D61" s="229">
        <v>39841</v>
      </c>
      <c r="E61" s="229">
        <v>46051</v>
      </c>
      <c r="F61" s="230">
        <v>3867.08</v>
      </c>
      <c r="G61" s="231">
        <v>3731.73</v>
      </c>
      <c r="H61" s="1123">
        <f t="shared" si="0"/>
        <v>275.52999999999997</v>
      </c>
    </row>
    <row r="62" spans="1:11" ht="21" customHeight="1" x14ac:dyDescent="0.3">
      <c r="B62" s="227" t="s">
        <v>147</v>
      </c>
      <c r="C62" s="228">
        <v>7.125</v>
      </c>
      <c r="D62" s="229">
        <v>39841</v>
      </c>
      <c r="E62" s="229">
        <v>46051</v>
      </c>
      <c r="F62" s="230">
        <v>12181.7</v>
      </c>
      <c r="G62" s="231">
        <v>11755.34</v>
      </c>
      <c r="H62" s="1123">
        <f t="shared" si="0"/>
        <v>867.95</v>
      </c>
    </row>
    <row r="63" spans="1:11" ht="21" customHeight="1" x14ac:dyDescent="0.3">
      <c r="B63" s="227" t="s">
        <v>148</v>
      </c>
      <c r="C63" s="228">
        <v>7.125</v>
      </c>
      <c r="D63" s="229">
        <v>39841</v>
      </c>
      <c r="E63" s="229">
        <v>46051</v>
      </c>
      <c r="F63" s="230">
        <v>9469.3799999999992</v>
      </c>
      <c r="G63" s="231">
        <v>9137.9500000000007</v>
      </c>
      <c r="H63" s="1123">
        <f t="shared" si="0"/>
        <v>674.69</v>
      </c>
    </row>
    <row r="64" spans="1:11" ht="21" customHeight="1" x14ac:dyDescent="0.3">
      <c r="B64" s="225" t="s">
        <v>149</v>
      </c>
      <c r="C64" s="233"/>
      <c r="D64" s="219"/>
      <c r="E64" s="219"/>
      <c r="F64" s="220">
        <f>SUM(F65:F71)</f>
        <v>100584.56</v>
      </c>
      <c r="G64" s="220">
        <f>SUM(G65:G71)</f>
        <v>99604.18</v>
      </c>
      <c r="H64" s="1123"/>
    </row>
    <row r="65" spans="1:11" s="209" customFormat="1" ht="21" customHeight="1" x14ac:dyDescent="0.3">
      <c r="A65" s="203"/>
      <c r="B65" s="227" t="s">
        <v>150</v>
      </c>
      <c r="C65" s="234">
        <v>6.7</v>
      </c>
      <c r="D65" s="229">
        <v>39707</v>
      </c>
      <c r="E65" s="229">
        <v>49700</v>
      </c>
      <c r="F65" s="230">
        <v>18411.919999999998</v>
      </c>
      <c r="G65" s="231">
        <v>18780.16</v>
      </c>
      <c r="H65" s="1123">
        <f t="shared" si="0"/>
        <v>1233.5999999999999</v>
      </c>
      <c r="I65" s="1108"/>
    </row>
    <row r="66" spans="1:11" ht="21" customHeight="1" x14ac:dyDescent="0.3">
      <c r="B66" s="227" t="s">
        <v>151</v>
      </c>
      <c r="C66" s="234">
        <v>6.7</v>
      </c>
      <c r="D66" s="229">
        <v>39841</v>
      </c>
      <c r="E66" s="229">
        <v>49700</v>
      </c>
      <c r="F66" s="230">
        <v>22137.31</v>
      </c>
      <c r="G66" s="231">
        <v>20255.63</v>
      </c>
      <c r="H66" s="1123">
        <f t="shared" si="0"/>
        <v>1483.2</v>
      </c>
    </row>
    <row r="67" spans="1:11" ht="21" customHeight="1" x14ac:dyDescent="0.3">
      <c r="B67" s="227" t="s">
        <v>152</v>
      </c>
      <c r="C67" s="234">
        <v>6.7</v>
      </c>
      <c r="D67" s="229">
        <v>39911</v>
      </c>
      <c r="E67" s="229">
        <v>49700</v>
      </c>
      <c r="F67" s="230">
        <v>4761.55</v>
      </c>
      <c r="G67" s="231">
        <v>4249.68</v>
      </c>
      <c r="H67" s="1123">
        <f t="shared" si="0"/>
        <v>319.02</v>
      </c>
    </row>
    <row r="68" spans="1:11" ht="21" customHeight="1" x14ac:dyDescent="0.3">
      <c r="B68" s="227" t="s">
        <v>153</v>
      </c>
      <c r="C68" s="234">
        <v>6.7</v>
      </c>
      <c r="D68" s="229">
        <v>39976</v>
      </c>
      <c r="E68" s="229">
        <v>49700</v>
      </c>
      <c r="F68" s="230">
        <v>7973.78</v>
      </c>
      <c r="G68" s="231">
        <v>7933.91</v>
      </c>
      <c r="H68" s="1123">
        <f t="shared" si="0"/>
        <v>534.24</v>
      </c>
    </row>
    <row r="69" spans="1:11" ht="21" customHeight="1" x14ac:dyDescent="0.3">
      <c r="B69" s="227" t="s">
        <v>154</v>
      </c>
      <c r="C69" s="234">
        <v>6.7</v>
      </c>
      <c r="D69" s="229">
        <v>40056</v>
      </c>
      <c r="E69" s="229">
        <v>49700</v>
      </c>
      <c r="F69" s="230">
        <v>14000</v>
      </c>
      <c r="G69" s="231">
        <v>14385</v>
      </c>
      <c r="H69" s="1123">
        <f t="shared" si="0"/>
        <v>938</v>
      </c>
    </row>
    <row r="70" spans="1:11" ht="21" customHeight="1" x14ac:dyDescent="0.3">
      <c r="B70" s="227" t="s">
        <v>155</v>
      </c>
      <c r="C70" s="234">
        <v>6.7</v>
      </c>
      <c r="D70" s="229">
        <v>40218</v>
      </c>
      <c r="E70" s="229">
        <v>49700</v>
      </c>
      <c r="F70" s="230">
        <v>16400</v>
      </c>
      <c r="G70" s="231">
        <v>16728</v>
      </c>
      <c r="H70" s="1123">
        <f t="shared" si="0"/>
        <v>1098.8</v>
      </c>
    </row>
    <row r="71" spans="1:11" ht="21" customHeight="1" x14ac:dyDescent="0.3">
      <c r="B71" s="227" t="s">
        <v>156</v>
      </c>
      <c r="C71" s="234">
        <v>6.7</v>
      </c>
      <c r="D71" s="229">
        <v>40218</v>
      </c>
      <c r="E71" s="229">
        <v>49700</v>
      </c>
      <c r="F71" s="230">
        <v>16900</v>
      </c>
      <c r="G71" s="231">
        <v>17271.8</v>
      </c>
      <c r="H71" s="1123">
        <f t="shared" si="0"/>
        <v>1132.3</v>
      </c>
    </row>
    <row r="72" spans="1:11" ht="21" customHeight="1" x14ac:dyDescent="0.3">
      <c r="B72" s="225" t="s">
        <v>119</v>
      </c>
      <c r="C72" s="233"/>
      <c r="D72" s="219"/>
      <c r="E72" s="219"/>
      <c r="F72" s="216">
        <f>SUM(F73)</f>
        <v>485608.59</v>
      </c>
      <c r="G72" s="216">
        <f>SUM(G73)</f>
        <v>550030.5</v>
      </c>
      <c r="H72" s="1123"/>
    </row>
    <row r="73" spans="1:11" ht="21" customHeight="1" x14ac:dyDescent="0.3">
      <c r="B73" s="227" t="s">
        <v>120</v>
      </c>
      <c r="C73" s="234">
        <v>4.3</v>
      </c>
      <c r="D73" s="229">
        <v>43795</v>
      </c>
      <c r="E73" s="229">
        <v>56003</v>
      </c>
      <c r="F73" s="230">
        <v>485608.59</v>
      </c>
      <c r="G73" s="231">
        <v>550030.5</v>
      </c>
      <c r="H73" s="1123">
        <f t="shared" si="0"/>
        <v>20881.169999999998</v>
      </c>
    </row>
    <row r="74" spans="1:11" ht="21" customHeight="1" x14ac:dyDescent="0.3">
      <c r="B74" s="225" t="s">
        <v>157</v>
      </c>
      <c r="C74" s="226"/>
      <c r="D74" s="219"/>
      <c r="E74" s="219"/>
      <c r="F74" s="236">
        <f>SUM(F75:F80)</f>
        <v>2834619.45</v>
      </c>
      <c r="G74" s="236">
        <f>SUM(G75:G80)</f>
        <v>2899819.47</v>
      </c>
      <c r="H74" s="305">
        <f>SUM(H58:H73)</f>
        <v>32508.74</v>
      </c>
      <c r="I74" s="1107">
        <f>H74/J74</f>
        <v>4.5499999999999999E-2</v>
      </c>
      <c r="J74" s="1098">
        <f>G57+G64+G72</f>
        <v>714213.12</v>
      </c>
      <c r="K74" s="207" t="s">
        <v>615</v>
      </c>
    </row>
    <row r="75" spans="1:11" ht="21.75" customHeight="1" x14ac:dyDescent="0.3">
      <c r="B75" s="227" t="s">
        <v>158</v>
      </c>
      <c r="C75" s="234">
        <v>5.625</v>
      </c>
      <c r="D75" s="229">
        <v>41008</v>
      </c>
      <c r="E75" s="229">
        <v>44767</v>
      </c>
      <c r="F75" s="230">
        <v>24555.55</v>
      </c>
      <c r="G75" s="231"/>
      <c r="H75" s="1123"/>
    </row>
    <row r="76" spans="1:11" s="209" customFormat="1" ht="21" customHeight="1" x14ac:dyDescent="0.3">
      <c r="A76" s="203"/>
      <c r="B76" s="227" t="s">
        <v>125</v>
      </c>
      <c r="C76" s="234">
        <v>4.95</v>
      </c>
      <c r="D76" s="229">
        <v>42573</v>
      </c>
      <c r="E76" s="229">
        <v>45436</v>
      </c>
      <c r="F76" s="230">
        <v>513511.98</v>
      </c>
      <c r="G76" s="231">
        <v>553565.91</v>
      </c>
      <c r="H76" s="1123">
        <f t="shared" si="0"/>
        <v>25418.84</v>
      </c>
      <c r="I76" s="1108"/>
    </row>
    <row r="77" spans="1:11" s="209" customFormat="1" ht="21" customHeight="1" x14ac:dyDescent="0.3">
      <c r="A77" s="203"/>
      <c r="B77" s="227" t="s">
        <v>126</v>
      </c>
      <c r="C77" s="234">
        <v>4.95</v>
      </c>
      <c r="D77" s="229">
        <v>43385</v>
      </c>
      <c r="E77" s="229">
        <v>45436</v>
      </c>
      <c r="F77" s="230">
        <v>206678.78</v>
      </c>
      <c r="G77" s="231">
        <v>219699.54</v>
      </c>
      <c r="H77" s="1123">
        <f t="shared" si="0"/>
        <v>10230.6</v>
      </c>
      <c r="I77" s="1108"/>
    </row>
    <row r="78" spans="1:11" s="209" customFormat="1" ht="21" customHeight="1" x14ac:dyDescent="0.3">
      <c r="A78" s="203"/>
      <c r="B78" s="227" t="s">
        <v>127</v>
      </c>
      <c r="C78" s="234">
        <v>4.95</v>
      </c>
      <c r="D78" s="229">
        <v>43630</v>
      </c>
      <c r="E78" s="229">
        <v>45436</v>
      </c>
      <c r="F78" s="230">
        <v>481835.92</v>
      </c>
      <c r="G78" s="231">
        <v>518840.91</v>
      </c>
      <c r="H78" s="1123">
        <f t="shared" si="0"/>
        <v>23850.880000000001</v>
      </c>
      <c r="I78" s="1108"/>
    </row>
    <row r="79" spans="1:11" s="209" customFormat="1" ht="21" customHeight="1" x14ac:dyDescent="0.3">
      <c r="A79" s="203"/>
      <c r="B79" s="240" t="s">
        <v>159</v>
      </c>
      <c r="C79" s="241">
        <v>3.3620000000000001</v>
      </c>
      <c r="D79" s="229">
        <v>44377</v>
      </c>
      <c r="E79" s="229">
        <v>48029</v>
      </c>
      <c r="F79" s="242">
        <v>1500000</v>
      </c>
      <c r="G79" s="242">
        <v>1500000</v>
      </c>
      <c r="H79" s="1123">
        <f t="shared" si="0"/>
        <v>50430</v>
      </c>
      <c r="I79" s="1108"/>
    </row>
    <row r="80" spans="1:11" s="209" customFormat="1" ht="21" customHeight="1" x14ac:dyDescent="0.3">
      <c r="A80" s="203"/>
      <c r="B80" s="240" t="s">
        <v>130</v>
      </c>
      <c r="C80" s="241">
        <v>3.3620000000000001</v>
      </c>
      <c r="D80" s="229">
        <v>44526</v>
      </c>
      <c r="E80" s="229">
        <v>48029</v>
      </c>
      <c r="F80" s="242">
        <v>108037.22</v>
      </c>
      <c r="G80" s="242">
        <v>107713.11</v>
      </c>
      <c r="H80" s="1123">
        <f t="shared" si="0"/>
        <v>3632.21</v>
      </c>
      <c r="I80" s="1108"/>
    </row>
    <row r="81" spans="1:11" s="254" customFormat="1" ht="21" customHeight="1" x14ac:dyDescent="0.3">
      <c r="A81" s="252"/>
      <c r="B81" s="225" t="s">
        <v>131</v>
      </c>
      <c r="C81" s="226"/>
      <c r="D81" s="219"/>
      <c r="E81" s="219"/>
      <c r="F81" s="236">
        <f>SUM(F82)</f>
        <v>387108.69</v>
      </c>
      <c r="G81" s="236">
        <f>SUM(G82)</f>
        <v>384244.08</v>
      </c>
      <c r="H81" s="305">
        <f>SUM(H75:H80)</f>
        <v>113562.53</v>
      </c>
      <c r="I81" s="1151">
        <f>H81/G74</f>
        <v>3.9199999999999999E-2</v>
      </c>
      <c r="J81" s="254" t="s">
        <v>616</v>
      </c>
    </row>
    <row r="82" spans="1:11" s="254" customFormat="1" ht="21" customHeight="1" x14ac:dyDescent="0.3">
      <c r="A82" s="252"/>
      <c r="B82" s="237" t="s">
        <v>132</v>
      </c>
      <c r="C82" s="245">
        <v>3</v>
      </c>
      <c r="D82" s="229">
        <v>43245</v>
      </c>
      <c r="E82" s="229">
        <v>45198</v>
      </c>
      <c r="F82" s="230">
        <v>387108.69</v>
      </c>
      <c r="G82" s="231">
        <v>384244.08</v>
      </c>
      <c r="H82" s="1123">
        <f t="shared" si="0"/>
        <v>11613.26</v>
      </c>
      <c r="I82" s="1151"/>
    </row>
    <row r="83" spans="1:11" s="254" customFormat="1" ht="21" customHeight="1" x14ac:dyDescent="0.3">
      <c r="A83" s="252"/>
      <c r="B83" s="225" t="s">
        <v>135</v>
      </c>
      <c r="C83" s="226"/>
      <c r="D83" s="219"/>
      <c r="E83" s="219"/>
      <c r="F83" s="236">
        <f>SUM(F84)</f>
        <v>10527.9</v>
      </c>
      <c r="G83" s="236">
        <f>SUM(G84)</f>
        <v>10511.79</v>
      </c>
      <c r="H83" s="1123"/>
      <c r="I83" s="1151"/>
    </row>
    <row r="84" spans="1:11" s="254" customFormat="1" ht="21" customHeight="1" x14ac:dyDescent="0.3">
      <c r="A84" s="252"/>
      <c r="B84" s="237" t="s">
        <v>136</v>
      </c>
      <c r="C84" s="245">
        <v>3.75</v>
      </c>
      <c r="D84" s="229">
        <v>43572</v>
      </c>
      <c r="E84" s="229">
        <v>46129</v>
      </c>
      <c r="F84" s="246">
        <v>10527.9</v>
      </c>
      <c r="G84" s="247">
        <v>10511.79</v>
      </c>
      <c r="H84" s="1123">
        <f t="shared" ref="H84:H88" si="1">F84*C84/100</f>
        <v>394.8</v>
      </c>
      <c r="I84" s="1151"/>
    </row>
    <row r="85" spans="1:11" s="254" customFormat="1" ht="21" customHeight="1" x14ac:dyDescent="0.3">
      <c r="A85" s="252"/>
      <c r="B85" s="225" t="s">
        <v>137</v>
      </c>
      <c r="C85" s="226"/>
      <c r="D85" s="219"/>
      <c r="E85" s="219"/>
      <c r="F85" s="236">
        <f>SUM(F86)</f>
        <v>222085.01</v>
      </c>
      <c r="G85" s="236">
        <f>SUM(G86)</f>
        <v>228481.06</v>
      </c>
      <c r="H85" s="1123"/>
      <c r="I85" s="1151"/>
    </row>
    <row r="86" spans="1:11" s="254" customFormat="1" ht="21" customHeight="1" x14ac:dyDescent="0.3">
      <c r="A86" s="252"/>
      <c r="B86" s="237" t="s">
        <v>138</v>
      </c>
      <c r="C86" s="245">
        <v>2.85</v>
      </c>
      <c r="D86" s="229">
        <v>44340</v>
      </c>
      <c r="E86" s="229">
        <v>46565</v>
      </c>
      <c r="F86" s="246">
        <v>222085.01</v>
      </c>
      <c r="G86" s="247">
        <v>228481.06</v>
      </c>
      <c r="H86" s="1123">
        <f t="shared" si="1"/>
        <v>6329.42</v>
      </c>
      <c r="I86" s="1151"/>
    </row>
    <row r="87" spans="1:11" s="257" customFormat="1" ht="21" customHeight="1" x14ac:dyDescent="0.3">
      <c r="A87" s="255"/>
      <c r="B87" s="248" t="s">
        <v>139</v>
      </c>
      <c r="C87" s="226"/>
      <c r="D87" s="235"/>
      <c r="E87" s="235"/>
      <c r="F87" s="249">
        <f>SUM(F88)</f>
        <v>175400.85</v>
      </c>
      <c r="G87" s="220">
        <f>SUM(G88)</f>
        <v>175400.85</v>
      </c>
      <c r="H87" s="1123">
        <f>SUM(H82:H86)</f>
        <v>18337.48</v>
      </c>
      <c r="I87" s="1154">
        <f>H87/K87</f>
        <v>2.9399999999999999E-2</v>
      </c>
      <c r="J87" s="257" t="s">
        <v>617</v>
      </c>
      <c r="K87" s="1155">
        <f>G81+G83+G85</f>
        <v>623236.93000000005</v>
      </c>
    </row>
    <row r="88" spans="1:11" s="257" customFormat="1" ht="36" customHeight="1" x14ac:dyDescent="0.3">
      <c r="A88" s="255"/>
      <c r="B88" s="250" t="s">
        <v>160</v>
      </c>
      <c r="C88" s="234">
        <v>3</v>
      </c>
      <c r="D88" s="229">
        <v>43712</v>
      </c>
      <c r="E88" s="229">
        <v>47365</v>
      </c>
      <c r="F88" s="230">
        <v>175400.85</v>
      </c>
      <c r="G88" s="231">
        <v>175400.85</v>
      </c>
      <c r="H88" s="1123">
        <f t="shared" si="1"/>
        <v>5262.03</v>
      </c>
      <c r="I88" s="1154">
        <v>0.03</v>
      </c>
    </row>
    <row r="89" spans="1:11" ht="15.5" x14ac:dyDescent="0.35">
      <c r="B89" s="258" t="s">
        <v>161</v>
      </c>
      <c r="C89" s="258"/>
      <c r="D89" s="258"/>
      <c r="E89" s="258"/>
      <c r="F89" s="258"/>
      <c r="G89" s="258"/>
    </row>
    <row r="90" spans="1:11" ht="16.5" x14ac:dyDescent="0.35">
      <c r="B90" s="259"/>
      <c r="C90" s="258"/>
      <c r="D90" s="258"/>
      <c r="E90" s="258"/>
      <c r="F90" s="258"/>
      <c r="G90" s="258"/>
    </row>
    <row r="91" spans="1:11" ht="16.5" x14ac:dyDescent="0.35">
      <c r="B91" s="259"/>
      <c r="C91" s="258"/>
      <c r="D91" s="258"/>
      <c r="E91" s="258"/>
      <c r="F91" s="258"/>
      <c r="G91" s="258"/>
    </row>
    <row r="92" spans="1:11" ht="16.5" x14ac:dyDescent="0.35">
      <c r="B92" s="259"/>
      <c r="C92" s="258"/>
      <c r="D92" s="258"/>
      <c r="E92" s="258"/>
      <c r="F92" s="258"/>
      <c r="G92" s="258"/>
    </row>
    <row r="94" spans="1:11" x14ac:dyDescent="0.3">
      <c r="B94" s="1626" t="s">
        <v>162</v>
      </c>
      <c r="C94" s="1626"/>
      <c r="D94" s="1626"/>
      <c r="E94" s="1626" t="s">
        <v>163</v>
      </c>
      <c r="F94" s="1626"/>
      <c r="G94" s="1626"/>
    </row>
    <row r="95" spans="1:11" x14ac:dyDescent="0.3">
      <c r="B95" s="1626" t="s">
        <v>164</v>
      </c>
      <c r="C95" s="1626"/>
      <c r="D95" s="1626"/>
      <c r="E95" s="1626" t="s">
        <v>165</v>
      </c>
      <c r="F95" s="1626"/>
      <c r="G95" s="1626"/>
    </row>
    <row r="96" spans="1:11" ht="33" customHeight="1" x14ac:dyDescent="0.3">
      <c r="B96" s="1623" t="s">
        <v>166</v>
      </c>
      <c r="C96" s="1623"/>
      <c r="D96" s="1623"/>
      <c r="E96" s="1623" t="s">
        <v>167</v>
      </c>
      <c r="F96" s="1623"/>
      <c r="G96" s="1623"/>
    </row>
  </sheetData>
  <mergeCells count="14">
    <mergeCell ref="B96:D96"/>
    <mergeCell ref="E96:G96"/>
    <mergeCell ref="B7:G7"/>
    <mergeCell ref="D8:E8"/>
    <mergeCell ref="B94:D94"/>
    <mergeCell ref="E94:G94"/>
    <mergeCell ref="B95:D95"/>
    <mergeCell ref="E95:G95"/>
    <mergeCell ref="B6:G6"/>
    <mergeCell ref="C1:E1"/>
    <mergeCell ref="B2:G2"/>
    <mergeCell ref="B3:G3"/>
    <mergeCell ref="B4:G4"/>
    <mergeCell ref="B5:G5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L232"/>
  <sheetViews>
    <sheetView topLeftCell="A133" workbookViewId="0">
      <selection activeCell="I166" sqref="I166"/>
    </sheetView>
  </sheetViews>
  <sheetFormatPr baseColWidth="10" defaultColWidth="11.453125" defaultRowHeight="15.5" x14ac:dyDescent="0.35"/>
  <cols>
    <col min="1" max="1" width="42.453125" style="294" customWidth="1"/>
    <col min="2" max="2" width="9.1796875" style="294" customWidth="1"/>
    <col min="3" max="3" width="15.453125" style="294" customWidth="1"/>
    <col min="4" max="4" width="14.26953125" style="294" customWidth="1"/>
    <col min="5" max="5" width="21.453125" style="294" customWidth="1"/>
    <col min="6" max="6" width="22.26953125" style="294" customWidth="1"/>
    <col min="7" max="7" width="18.54296875" style="206" hidden="1" customWidth="1"/>
    <col min="8" max="8" width="18.54296875" style="1106" customWidth="1"/>
    <col min="9" max="9" width="18.54296875" style="1107" customWidth="1"/>
    <col min="10" max="10" width="20.81640625" style="1106" customWidth="1"/>
    <col min="11" max="11" width="46.1796875" style="206" customWidth="1"/>
    <col min="12" max="12" width="20.1796875" style="207" customWidth="1"/>
    <col min="13" max="16384" width="11.453125" style="207"/>
  </cols>
  <sheetData>
    <row r="1" spans="1:12" ht="18" customHeight="1" x14ac:dyDescent="0.35">
      <c r="A1" s="260"/>
      <c r="B1" s="260"/>
      <c r="C1" s="260"/>
      <c r="D1" s="260"/>
      <c r="E1" s="260"/>
      <c r="F1" s="296" t="s">
        <v>587</v>
      </c>
    </row>
    <row r="2" spans="1:12" ht="17.25" customHeight="1" x14ac:dyDescent="0.4">
      <c r="A2" s="1713" t="s">
        <v>0</v>
      </c>
      <c r="B2" s="1713"/>
      <c r="C2" s="1713"/>
      <c r="D2" s="1713"/>
      <c r="E2" s="1713"/>
      <c r="F2" s="1713"/>
    </row>
    <row r="3" spans="1:12" s="209" customFormat="1" ht="19.5" customHeight="1" x14ac:dyDescent="0.25">
      <c r="A3" s="1624" t="s">
        <v>91</v>
      </c>
      <c r="B3" s="1624"/>
      <c r="C3" s="1624"/>
      <c r="D3" s="1624"/>
      <c r="E3" s="1624"/>
      <c r="F3" s="1624"/>
      <c r="G3" s="208"/>
      <c r="H3" s="305"/>
      <c r="I3" s="1108"/>
      <c r="J3" s="305"/>
      <c r="K3" s="208"/>
    </row>
    <row r="4" spans="1:12" s="209" customFormat="1" ht="32.25" customHeight="1" x14ac:dyDescent="0.25">
      <c r="A4" s="1634" t="s">
        <v>216</v>
      </c>
      <c r="B4" s="1635"/>
      <c r="C4" s="1635"/>
      <c r="D4" s="1635"/>
      <c r="E4" s="1635"/>
      <c r="F4" s="1635"/>
      <c r="G4" s="208"/>
      <c r="H4" s="305"/>
      <c r="I4" s="1108"/>
      <c r="J4" s="305"/>
      <c r="K4" s="208"/>
    </row>
    <row r="5" spans="1:12" s="209" customFormat="1" ht="18.75" customHeight="1" x14ac:dyDescent="0.25">
      <c r="A5" s="1624" t="s">
        <v>553</v>
      </c>
      <c r="B5" s="1624"/>
      <c r="C5" s="1624"/>
      <c r="D5" s="1624"/>
      <c r="E5" s="1624"/>
      <c r="F5" s="1624"/>
      <c r="G5" s="208"/>
      <c r="H5" s="305"/>
      <c r="I5" s="1108"/>
      <c r="J5" s="305"/>
      <c r="K5" s="208"/>
    </row>
    <row r="6" spans="1:12" s="209" customFormat="1" ht="16.5" customHeight="1" x14ac:dyDescent="0.25">
      <c r="A6" s="1624" t="s">
        <v>95</v>
      </c>
      <c r="B6" s="1624"/>
      <c r="C6" s="1624"/>
      <c r="D6" s="1624"/>
      <c r="E6" s="1624"/>
      <c r="F6" s="1624"/>
      <c r="G6" s="208"/>
      <c r="H6" s="305"/>
      <c r="I6" s="1108"/>
      <c r="J6" s="305"/>
      <c r="K6" s="208"/>
    </row>
    <row r="7" spans="1:12" s="209" customFormat="1" ht="36" customHeight="1" x14ac:dyDescent="0.25">
      <c r="A7" s="298" t="s">
        <v>96</v>
      </c>
      <c r="B7" s="299" t="s">
        <v>97</v>
      </c>
      <c r="C7" s="299" t="s">
        <v>217</v>
      </c>
      <c r="D7" s="300" t="s">
        <v>218</v>
      </c>
      <c r="E7" s="300" t="s">
        <v>99</v>
      </c>
      <c r="F7" s="299" t="s">
        <v>100</v>
      </c>
      <c r="G7" s="208"/>
      <c r="H7" s="305"/>
      <c r="I7" s="1108"/>
      <c r="J7" s="305"/>
      <c r="K7" s="208"/>
    </row>
    <row r="8" spans="1:12" s="209" customFormat="1" ht="35.25" customHeight="1" x14ac:dyDescent="0.25">
      <c r="A8" s="1109" t="s">
        <v>101</v>
      </c>
      <c r="B8" s="1110"/>
      <c r="C8" s="1111"/>
      <c r="D8" s="1111"/>
      <c r="E8" s="1112">
        <f>E9+E102</f>
        <v>3923374883.5</v>
      </c>
      <c r="F8" s="1112">
        <f>F9+F102</f>
        <v>3991397617.9299998</v>
      </c>
      <c r="G8" s="305"/>
      <c r="H8" s="305"/>
      <c r="I8" s="1108"/>
      <c r="J8" s="305"/>
      <c r="K8" s="208"/>
    </row>
    <row r="9" spans="1:12" s="209" customFormat="1" ht="35.25" customHeight="1" x14ac:dyDescent="0.25">
      <c r="A9" s="1113" t="s">
        <v>219</v>
      </c>
      <c r="B9" s="1114"/>
      <c r="C9" s="1114"/>
      <c r="D9" s="1114"/>
      <c r="E9" s="1112">
        <f>SUM(E11+E18+E45+E20+E24+E39+E48+E52+E55+E77+E84+E97+E93+E68+E70+E86+E73+E100)</f>
        <v>1247392181.8499999</v>
      </c>
      <c r="F9" s="1112">
        <f>SUM(F11+F18+F45+F20+F24+F39+F48+F52+F55+F77+F84+F97+F93+F68+F70+F86+F73+F100)</f>
        <v>1272372368.9200001</v>
      </c>
      <c r="G9" s="208"/>
      <c r="H9" s="305"/>
      <c r="I9" s="1108"/>
      <c r="J9" s="305" t="e">
        <f>F9-RESUMEN!#REF!</f>
        <v>#REF!</v>
      </c>
      <c r="K9" s="305">
        <f>SUM(E10+E54+E76+E86+E93+E97+E100+E103+E176+E201+E211+E218+E224+E226)</f>
        <v>3923374883.5</v>
      </c>
    </row>
    <row r="10" spans="1:12" s="209" customFormat="1" ht="30" customHeight="1" x14ac:dyDescent="0.25">
      <c r="A10" s="1115" t="s">
        <v>588</v>
      </c>
      <c r="B10" s="1114"/>
      <c r="C10" s="1114"/>
      <c r="D10" s="1114"/>
      <c r="E10" s="1112">
        <f>SUM(E18+E11+E20+E24+E39+E45+E48+E52)</f>
        <v>253790533.27000001</v>
      </c>
      <c r="F10" s="1112">
        <f>SUM(F18+F11+F20+F24+F39+F45+F48+F52)</f>
        <v>268022280.68000001</v>
      </c>
      <c r="G10" s="208"/>
      <c r="H10" s="305"/>
      <c r="I10" s="1108"/>
      <c r="J10" s="305"/>
      <c r="K10" s="208"/>
    </row>
    <row r="11" spans="1:12" s="209" customFormat="1" ht="28.5" customHeight="1" x14ac:dyDescent="0.25">
      <c r="A11" s="1116" t="s">
        <v>220</v>
      </c>
      <c r="B11" s="1117"/>
      <c r="C11" s="1118"/>
      <c r="D11" s="1118"/>
      <c r="E11" s="1119">
        <f>SUM(E12:E17)</f>
        <v>5282637.76</v>
      </c>
      <c r="F11" s="1119">
        <f>SUM(F12:F17)</f>
        <v>4977197.72</v>
      </c>
      <c r="G11" s="307"/>
      <c r="H11" s="305"/>
      <c r="I11" s="1108"/>
      <c r="J11" s="277"/>
      <c r="K11" s="1120"/>
      <c r="L11" s="308"/>
    </row>
    <row r="12" spans="1:12" s="209" customFormat="1" ht="30.75" customHeight="1" x14ac:dyDescent="0.25">
      <c r="A12" s="1121" t="s">
        <v>221</v>
      </c>
      <c r="B12" s="245">
        <v>7.125</v>
      </c>
      <c r="C12" s="1122">
        <v>39736</v>
      </c>
      <c r="D12" s="1122">
        <v>46051</v>
      </c>
      <c r="E12" s="246">
        <v>1291688.49</v>
      </c>
      <c r="F12" s="247">
        <v>1227104.07</v>
      </c>
      <c r="G12" s="310"/>
      <c r="H12" s="1123">
        <f>E12*B12/100</f>
        <v>92032.8</v>
      </c>
      <c r="I12" s="1108"/>
      <c r="J12" s="305"/>
      <c r="K12" s="310"/>
    </row>
    <row r="13" spans="1:12" s="209" customFormat="1" ht="30.75" customHeight="1" x14ac:dyDescent="0.25">
      <c r="A13" s="1121" t="s">
        <v>222</v>
      </c>
      <c r="B13" s="245">
        <v>7.125</v>
      </c>
      <c r="C13" s="1122">
        <v>39743</v>
      </c>
      <c r="D13" s="1122">
        <v>46051</v>
      </c>
      <c r="E13" s="246">
        <v>323810.08</v>
      </c>
      <c r="F13" s="247">
        <v>294667.17</v>
      </c>
      <c r="G13" s="310"/>
      <c r="H13" s="1123">
        <f t="shared" ref="H13:H75" si="0">E13*B13/100</f>
        <v>23071.47</v>
      </c>
      <c r="I13" s="1108"/>
      <c r="J13" s="305"/>
      <c r="K13" s="310"/>
    </row>
    <row r="14" spans="1:12" s="209" customFormat="1" ht="30.75" customHeight="1" x14ac:dyDescent="0.25">
      <c r="A14" s="1121" t="s">
        <v>223</v>
      </c>
      <c r="B14" s="245">
        <v>7.125</v>
      </c>
      <c r="C14" s="1122">
        <v>39742</v>
      </c>
      <c r="D14" s="1122">
        <v>46051</v>
      </c>
      <c r="E14" s="246">
        <v>1587863.5</v>
      </c>
      <c r="F14" s="247">
        <v>1448925.44</v>
      </c>
      <c r="G14" s="310"/>
      <c r="H14" s="1123">
        <f t="shared" si="0"/>
        <v>113135.27</v>
      </c>
      <c r="I14" s="1108"/>
      <c r="J14" s="305"/>
      <c r="K14" s="310"/>
    </row>
    <row r="15" spans="1:12" s="209" customFormat="1" ht="30.75" customHeight="1" x14ac:dyDescent="0.25">
      <c r="A15" s="1121" t="s">
        <v>224</v>
      </c>
      <c r="B15" s="245">
        <v>7.125</v>
      </c>
      <c r="C15" s="1122">
        <v>39841</v>
      </c>
      <c r="D15" s="1122">
        <v>46051</v>
      </c>
      <c r="E15" s="246">
        <v>495228.11</v>
      </c>
      <c r="F15" s="247">
        <v>477895.12</v>
      </c>
      <c r="G15" s="310"/>
      <c r="H15" s="1123">
        <f t="shared" si="0"/>
        <v>35285</v>
      </c>
      <c r="I15" s="1108"/>
      <c r="J15" s="305"/>
      <c r="K15" s="310"/>
    </row>
    <row r="16" spans="1:12" s="209" customFormat="1" ht="30.75" customHeight="1" x14ac:dyDescent="0.25">
      <c r="A16" s="1121" t="s">
        <v>147</v>
      </c>
      <c r="B16" s="245">
        <v>7.125</v>
      </c>
      <c r="C16" s="1122">
        <v>39841</v>
      </c>
      <c r="D16" s="1122">
        <v>46051</v>
      </c>
      <c r="E16" s="246">
        <v>572506.06000000006</v>
      </c>
      <c r="F16" s="247">
        <v>552468.35</v>
      </c>
      <c r="G16" s="310"/>
      <c r="H16" s="1123">
        <f t="shared" si="0"/>
        <v>40791.06</v>
      </c>
      <c r="I16" s="1108"/>
      <c r="J16" s="305"/>
      <c r="K16" s="310"/>
    </row>
    <row r="17" spans="1:11" s="209" customFormat="1" ht="30.75" customHeight="1" x14ac:dyDescent="0.25">
      <c r="A17" s="1121" t="s">
        <v>148</v>
      </c>
      <c r="B17" s="245">
        <v>7.125</v>
      </c>
      <c r="C17" s="1122">
        <v>39841</v>
      </c>
      <c r="D17" s="1122">
        <v>46051</v>
      </c>
      <c r="E17" s="246">
        <v>1011541.52</v>
      </c>
      <c r="F17" s="247">
        <v>976137.57</v>
      </c>
      <c r="G17" s="310"/>
      <c r="H17" s="1123">
        <f t="shared" si="0"/>
        <v>72072.33</v>
      </c>
      <c r="I17" s="1108"/>
      <c r="J17" s="305"/>
      <c r="K17" s="310"/>
    </row>
    <row r="18" spans="1:11" s="209" customFormat="1" ht="28.5" customHeight="1" x14ac:dyDescent="0.25">
      <c r="A18" s="1116" t="s">
        <v>225</v>
      </c>
      <c r="B18" s="1117"/>
      <c r="C18" s="1118"/>
      <c r="D18" s="1118"/>
      <c r="E18" s="1119">
        <f>SUM(E19)</f>
        <v>1175000</v>
      </c>
      <c r="F18" s="1119">
        <f>SUM(F19)</f>
        <v>1069250</v>
      </c>
      <c r="G18" s="310"/>
      <c r="H18" s="1123"/>
      <c r="I18" s="1108"/>
      <c r="J18" s="305"/>
      <c r="K18" s="310"/>
    </row>
    <row r="19" spans="1:11" s="209" customFormat="1" ht="30" customHeight="1" x14ac:dyDescent="0.25">
      <c r="A19" s="1124" t="s">
        <v>226</v>
      </c>
      <c r="B19" s="245">
        <v>8.8699999999999992</v>
      </c>
      <c r="C19" s="1122">
        <v>39751</v>
      </c>
      <c r="D19" s="1122">
        <v>46660</v>
      </c>
      <c r="E19" s="246">
        <v>1175000</v>
      </c>
      <c r="F19" s="247">
        <v>1069250</v>
      </c>
      <c r="G19" s="310"/>
      <c r="H19" s="1123">
        <f t="shared" si="0"/>
        <v>104222.5</v>
      </c>
      <c r="I19" s="1108"/>
      <c r="J19" s="305"/>
      <c r="K19" s="208"/>
    </row>
    <row r="20" spans="1:11" s="209" customFormat="1" ht="28.5" customHeight="1" x14ac:dyDescent="0.25">
      <c r="A20" s="1116" t="s">
        <v>227</v>
      </c>
      <c r="B20" s="1117"/>
      <c r="C20" s="1118"/>
      <c r="D20" s="1118"/>
      <c r="E20" s="1119">
        <f>SUM(E21:E23)</f>
        <v>45007748.280000001</v>
      </c>
      <c r="F20" s="1119">
        <f>SUM(F21:F23)</f>
        <v>44435540.350000001</v>
      </c>
      <c r="G20" s="310"/>
      <c r="H20" s="1123"/>
      <c r="I20" s="1108"/>
      <c r="J20" s="305"/>
      <c r="K20" s="208"/>
    </row>
    <row r="21" spans="1:11" s="209" customFormat="1" ht="30.75" customHeight="1" x14ac:dyDescent="0.25">
      <c r="A21" s="1124" t="s">
        <v>228</v>
      </c>
      <c r="B21" s="245">
        <v>2.25</v>
      </c>
      <c r="C21" s="1122">
        <v>44223</v>
      </c>
      <c r="D21" s="1122">
        <v>48486</v>
      </c>
      <c r="E21" s="246">
        <v>25007748.280000001</v>
      </c>
      <c r="F21" s="247">
        <v>25143540.350000001</v>
      </c>
      <c r="G21" s="310"/>
      <c r="H21" s="1123">
        <f t="shared" si="0"/>
        <v>562674.34</v>
      </c>
      <c r="I21" s="1108"/>
      <c r="J21" s="305"/>
      <c r="K21" s="208"/>
    </row>
    <row r="22" spans="1:11" s="209" customFormat="1" ht="30.75" customHeight="1" x14ac:dyDescent="0.25">
      <c r="A22" s="1124" t="s">
        <v>229</v>
      </c>
      <c r="B22" s="245">
        <v>2.25</v>
      </c>
      <c r="C22" s="1122">
        <v>44321</v>
      </c>
      <c r="D22" s="1122">
        <v>48486</v>
      </c>
      <c r="E22" s="246">
        <v>10000000</v>
      </c>
      <c r="F22" s="247">
        <v>9645000</v>
      </c>
      <c r="G22" s="310"/>
      <c r="H22" s="1123">
        <f t="shared" si="0"/>
        <v>225000</v>
      </c>
      <c r="I22" s="1108"/>
      <c r="J22" s="305"/>
      <c r="K22" s="208"/>
    </row>
    <row r="23" spans="1:11" s="209" customFormat="1" ht="30.75" customHeight="1" x14ac:dyDescent="0.25">
      <c r="A23" s="1124" t="s">
        <v>230</v>
      </c>
      <c r="B23" s="245">
        <v>2.25</v>
      </c>
      <c r="C23" s="1122">
        <v>44322</v>
      </c>
      <c r="D23" s="1122">
        <v>48486</v>
      </c>
      <c r="E23" s="246">
        <v>10000000</v>
      </c>
      <c r="F23" s="247">
        <v>9647000</v>
      </c>
      <c r="G23" s="310"/>
      <c r="H23" s="1123">
        <f t="shared" si="0"/>
        <v>225000</v>
      </c>
      <c r="I23" s="1108"/>
      <c r="J23" s="305"/>
      <c r="K23" s="208"/>
    </row>
    <row r="24" spans="1:11" s="209" customFormat="1" ht="28.5" customHeight="1" x14ac:dyDescent="0.25">
      <c r="A24" s="1116" t="s">
        <v>231</v>
      </c>
      <c r="B24" s="1117"/>
      <c r="C24" s="1118"/>
      <c r="D24" s="1118"/>
      <c r="E24" s="1119">
        <f>SUM(E25:E38)</f>
        <v>14899565.24</v>
      </c>
      <c r="F24" s="1119">
        <f>SUM(F25:F38)</f>
        <v>15201035.99</v>
      </c>
      <c r="G24" s="310"/>
      <c r="H24" s="1123"/>
      <c r="I24" s="1108"/>
      <c r="J24" s="305"/>
      <c r="K24" s="208"/>
    </row>
    <row r="25" spans="1:11" s="209" customFormat="1" ht="29.25" customHeight="1" x14ac:dyDescent="0.25">
      <c r="A25" s="1124" t="s">
        <v>232</v>
      </c>
      <c r="B25" s="245">
        <v>6.7</v>
      </c>
      <c r="C25" s="1122">
        <v>39636</v>
      </c>
      <c r="D25" s="1122">
        <v>49700</v>
      </c>
      <c r="E25" s="246">
        <v>3211051.94</v>
      </c>
      <c r="F25" s="247">
        <v>3267245.35</v>
      </c>
      <c r="G25" s="312"/>
      <c r="H25" s="1123">
        <f t="shared" si="0"/>
        <v>215140.48000000001</v>
      </c>
      <c r="I25" s="1108"/>
      <c r="J25" s="305"/>
      <c r="K25" s="208"/>
    </row>
    <row r="26" spans="1:11" s="209" customFormat="1" ht="29.25" customHeight="1" x14ac:dyDescent="0.25">
      <c r="A26" s="1124" t="s">
        <v>233</v>
      </c>
      <c r="B26" s="245">
        <v>6.7</v>
      </c>
      <c r="C26" s="1122">
        <v>39636</v>
      </c>
      <c r="D26" s="1122">
        <v>49700</v>
      </c>
      <c r="E26" s="246">
        <v>440000</v>
      </c>
      <c r="F26" s="247">
        <v>447700</v>
      </c>
      <c r="G26" s="312"/>
      <c r="H26" s="1123">
        <f t="shared" si="0"/>
        <v>29480</v>
      </c>
      <c r="I26" s="1108"/>
      <c r="J26" s="305"/>
      <c r="K26" s="208"/>
    </row>
    <row r="27" spans="1:11" s="209" customFormat="1" ht="29.25" customHeight="1" x14ac:dyDescent="0.25">
      <c r="A27" s="1124" t="s">
        <v>234</v>
      </c>
      <c r="B27" s="245">
        <v>6.7</v>
      </c>
      <c r="C27" s="1122">
        <v>40218</v>
      </c>
      <c r="D27" s="1122">
        <v>49700</v>
      </c>
      <c r="E27" s="246">
        <v>44282.080000000002</v>
      </c>
      <c r="F27" s="247">
        <v>45167.72</v>
      </c>
      <c r="G27" s="312"/>
      <c r="H27" s="1123">
        <f t="shared" si="0"/>
        <v>2966.9</v>
      </c>
      <c r="I27" s="1108"/>
      <c r="J27" s="305"/>
      <c r="K27" s="208"/>
    </row>
    <row r="28" spans="1:11" s="209" customFormat="1" ht="29.25" customHeight="1" x14ac:dyDescent="0.25">
      <c r="A28" s="1124" t="s">
        <v>235</v>
      </c>
      <c r="B28" s="245">
        <v>6.7</v>
      </c>
      <c r="C28" s="1122">
        <v>39714</v>
      </c>
      <c r="D28" s="1122">
        <v>49700</v>
      </c>
      <c r="E28" s="246">
        <v>1100000</v>
      </c>
      <c r="F28" s="247">
        <v>1091750</v>
      </c>
      <c r="G28" s="312"/>
      <c r="H28" s="1123">
        <f t="shared" si="0"/>
        <v>73700</v>
      </c>
      <c r="I28" s="1108"/>
      <c r="J28" s="305"/>
      <c r="K28" s="208"/>
    </row>
    <row r="29" spans="1:11" s="209" customFormat="1" ht="29.25" customHeight="1" x14ac:dyDescent="0.25">
      <c r="A29" s="1124" t="s">
        <v>236</v>
      </c>
      <c r="B29" s="245">
        <v>6.7</v>
      </c>
      <c r="C29" s="1122">
        <v>39841</v>
      </c>
      <c r="D29" s="1122">
        <v>49700</v>
      </c>
      <c r="E29" s="246">
        <v>935957.91</v>
      </c>
      <c r="F29" s="247">
        <v>856401.49</v>
      </c>
      <c r="G29" s="312"/>
      <c r="H29" s="1123">
        <f t="shared" si="0"/>
        <v>62709.18</v>
      </c>
      <c r="I29" s="1108"/>
      <c r="J29" s="305"/>
      <c r="K29" s="208"/>
    </row>
    <row r="30" spans="1:11" s="209" customFormat="1" ht="29.25" customHeight="1" x14ac:dyDescent="0.25">
      <c r="A30" s="1124" t="s">
        <v>237</v>
      </c>
      <c r="B30" s="245">
        <v>6.7</v>
      </c>
      <c r="C30" s="1122">
        <v>39911</v>
      </c>
      <c r="D30" s="1122">
        <v>49700</v>
      </c>
      <c r="E30" s="246">
        <v>1106172.77</v>
      </c>
      <c r="F30" s="247">
        <v>987259.2</v>
      </c>
      <c r="G30" s="312"/>
      <c r="H30" s="1123">
        <f t="shared" si="0"/>
        <v>74113.58</v>
      </c>
      <c r="I30" s="1108"/>
      <c r="J30" s="305"/>
      <c r="K30" s="208"/>
    </row>
    <row r="31" spans="1:11" s="209" customFormat="1" ht="29.25" customHeight="1" x14ac:dyDescent="0.25">
      <c r="A31" s="1124" t="s">
        <v>238</v>
      </c>
      <c r="B31" s="245">
        <v>6.7</v>
      </c>
      <c r="C31" s="1122">
        <v>39976</v>
      </c>
      <c r="D31" s="1122">
        <v>49700</v>
      </c>
      <c r="E31" s="246">
        <v>452700.54</v>
      </c>
      <c r="F31" s="247">
        <v>450437.03</v>
      </c>
      <c r="G31" s="312"/>
      <c r="H31" s="1123">
        <f t="shared" si="0"/>
        <v>30330.94</v>
      </c>
      <c r="I31" s="1108"/>
      <c r="J31" s="305"/>
      <c r="K31" s="208"/>
    </row>
    <row r="32" spans="1:11" s="209" customFormat="1" ht="29.25" customHeight="1" x14ac:dyDescent="0.25">
      <c r="A32" s="1124" t="s">
        <v>239</v>
      </c>
      <c r="B32" s="245">
        <v>6.7</v>
      </c>
      <c r="C32" s="1122">
        <v>40218</v>
      </c>
      <c r="D32" s="1122">
        <v>49700</v>
      </c>
      <c r="E32" s="246">
        <v>1000000</v>
      </c>
      <c r="F32" s="247">
        <v>1020000</v>
      </c>
      <c r="G32" s="312"/>
      <c r="H32" s="1123">
        <f t="shared" si="0"/>
        <v>67000</v>
      </c>
      <c r="I32" s="1108"/>
      <c r="J32" s="305"/>
      <c r="K32" s="208"/>
    </row>
    <row r="33" spans="1:12" s="209" customFormat="1" ht="29.25" customHeight="1" x14ac:dyDescent="0.25">
      <c r="A33" s="1124" t="s">
        <v>240</v>
      </c>
      <c r="B33" s="245">
        <v>6.7</v>
      </c>
      <c r="C33" s="1122">
        <v>40056</v>
      </c>
      <c r="D33" s="1122">
        <v>49700</v>
      </c>
      <c r="E33" s="246">
        <v>1289000</v>
      </c>
      <c r="F33" s="247">
        <v>1324447.5</v>
      </c>
      <c r="G33" s="312"/>
      <c r="H33" s="1123">
        <f t="shared" si="0"/>
        <v>86363</v>
      </c>
      <c r="I33" s="1108"/>
      <c r="J33" s="305"/>
      <c r="K33" s="208"/>
    </row>
    <row r="34" spans="1:12" s="209" customFormat="1" ht="29.25" customHeight="1" x14ac:dyDescent="0.25">
      <c r="A34" s="1124" t="s">
        <v>241</v>
      </c>
      <c r="B34" s="245">
        <v>6.7</v>
      </c>
      <c r="C34" s="1122">
        <v>40218</v>
      </c>
      <c r="D34" s="1122">
        <v>49700</v>
      </c>
      <c r="E34" s="246">
        <v>767800</v>
      </c>
      <c r="F34" s="247">
        <v>783156</v>
      </c>
      <c r="G34" s="312"/>
      <c r="H34" s="1123">
        <f t="shared" si="0"/>
        <v>51442.6</v>
      </c>
      <c r="I34" s="1108"/>
      <c r="J34" s="305"/>
      <c r="K34" s="208"/>
    </row>
    <row r="35" spans="1:12" s="209" customFormat="1" ht="29.25" customHeight="1" x14ac:dyDescent="0.25">
      <c r="A35" s="1124" t="s">
        <v>242</v>
      </c>
      <c r="B35" s="245">
        <v>6.7</v>
      </c>
      <c r="C35" s="1122">
        <v>40218</v>
      </c>
      <c r="D35" s="1122">
        <v>49700</v>
      </c>
      <c r="E35" s="246">
        <v>1303600</v>
      </c>
      <c r="F35" s="247">
        <v>1332279.2</v>
      </c>
      <c r="G35" s="312"/>
      <c r="H35" s="1123">
        <f t="shared" si="0"/>
        <v>87341.2</v>
      </c>
      <c r="I35" s="1108"/>
      <c r="J35" s="305"/>
      <c r="K35" s="208"/>
    </row>
    <row r="36" spans="1:12" s="209" customFormat="1" ht="29.25" customHeight="1" x14ac:dyDescent="0.25">
      <c r="A36" s="1124" t="s">
        <v>243</v>
      </c>
      <c r="B36" s="245">
        <v>6.7</v>
      </c>
      <c r="C36" s="1122">
        <v>40234</v>
      </c>
      <c r="D36" s="1122">
        <v>49700</v>
      </c>
      <c r="E36" s="246">
        <v>1000000</v>
      </c>
      <c r="F36" s="247">
        <v>1050000</v>
      </c>
      <c r="G36" s="312"/>
      <c r="H36" s="1123">
        <f t="shared" si="0"/>
        <v>67000</v>
      </c>
      <c r="I36" s="1108"/>
      <c r="J36" s="277"/>
      <c r="K36" s="1120"/>
      <c r="L36" s="308"/>
    </row>
    <row r="37" spans="1:12" s="209" customFormat="1" ht="29.25" customHeight="1" x14ac:dyDescent="0.25">
      <c r="A37" s="1124" t="s">
        <v>244</v>
      </c>
      <c r="B37" s="245">
        <v>6.7</v>
      </c>
      <c r="C37" s="1122">
        <v>40238</v>
      </c>
      <c r="D37" s="1122">
        <v>49700</v>
      </c>
      <c r="E37" s="246">
        <v>749000</v>
      </c>
      <c r="F37" s="247">
        <v>792067.5</v>
      </c>
      <c r="G37" s="312"/>
      <c r="H37" s="1123">
        <f t="shared" si="0"/>
        <v>50183</v>
      </c>
      <c r="I37" s="1108"/>
      <c r="J37" s="277"/>
      <c r="K37" s="1120"/>
      <c r="L37" s="308"/>
    </row>
    <row r="38" spans="1:12" s="209" customFormat="1" ht="29.25" customHeight="1" x14ac:dyDescent="0.25">
      <c r="A38" s="1124" t="s">
        <v>245</v>
      </c>
      <c r="B38" s="245">
        <v>6.7</v>
      </c>
      <c r="C38" s="1122">
        <v>41457</v>
      </c>
      <c r="D38" s="1122">
        <v>49700</v>
      </c>
      <c r="E38" s="246">
        <v>1500000</v>
      </c>
      <c r="F38" s="247">
        <v>1753125</v>
      </c>
      <c r="G38" s="312"/>
      <c r="H38" s="1123">
        <f t="shared" si="0"/>
        <v>100500</v>
      </c>
      <c r="I38" s="1108"/>
      <c r="J38" s="277"/>
      <c r="K38" s="1120"/>
      <c r="L38" s="308"/>
    </row>
    <row r="39" spans="1:12" s="209" customFormat="1" ht="27" customHeight="1" x14ac:dyDescent="0.25">
      <c r="A39" s="1116" t="s">
        <v>246</v>
      </c>
      <c r="B39" s="1117"/>
      <c r="C39" s="1118"/>
      <c r="D39" s="1118"/>
      <c r="E39" s="1119">
        <f>SUM(E40:E44)</f>
        <v>14171690.630000001</v>
      </c>
      <c r="F39" s="1119">
        <f>SUM(F40:F44)</f>
        <v>14120299.49</v>
      </c>
      <c r="G39" s="312"/>
      <c r="H39" s="1123"/>
      <c r="I39" s="1108"/>
      <c r="J39" s="277"/>
      <c r="K39" s="1120"/>
      <c r="L39" s="308"/>
    </row>
    <row r="40" spans="1:12" s="209" customFormat="1" ht="30.75" customHeight="1" x14ac:dyDescent="0.25">
      <c r="A40" s="1124" t="s">
        <v>247</v>
      </c>
      <c r="B40" s="245">
        <v>4.5</v>
      </c>
      <c r="C40" s="1122">
        <v>42870</v>
      </c>
      <c r="D40" s="1122">
        <v>53827</v>
      </c>
      <c r="E40" s="246">
        <v>1766466.36</v>
      </c>
      <c r="F40" s="247">
        <v>1762209.18</v>
      </c>
      <c r="G40" s="312"/>
      <c r="H40" s="1123">
        <f t="shared" si="0"/>
        <v>79490.990000000005</v>
      </c>
      <c r="I40" s="1108"/>
      <c r="J40" s="305"/>
      <c r="K40" s="208"/>
    </row>
    <row r="41" spans="1:12" s="209" customFormat="1" ht="30.75" customHeight="1" x14ac:dyDescent="0.25">
      <c r="A41" s="1124" t="s">
        <v>248</v>
      </c>
      <c r="B41" s="245">
        <v>4.5</v>
      </c>
      <c r="C41" s="1122">
        <v>43368</v>
      </c>
      <c r="D41" s="1122">
        <v>53827</v>
      </c>
      <c r="E41" s="246">
        <v>2500000</v>
      </c>
      <c r="F41" s="247">
        <v>2493000</v>
      </c>
      <c r="G41" s="312"/>
      <c r="H41" s="1123">
        <f t="shared" si="0"/>
        <v>112500</v>
      </c>
      <c r="I41" s="1108"/>
      <c r="J41" s="305"/>
      <c r="K41" s="208"/>
    </row>
    <row r="42" spans="1:12" s="209" customFormat="1" ht="30.75" customHeight="1" x14ac:dyDescent="0.25">
      <c r="A42" s="1124" t="s">
        <v>249</v>
      </c>
      <c r="B42" s="245">
        <v>4.5</v>
      </c>
      <c r="C42" s="1122">
        <v>43369</v>
      </c>
      <c r="D42" s="1122">
        <v>53827</v>
      </c>
      <c r="E42" s="246">
        <v>2500000</v>
      </c>
      <c r="F42" s="247">
        <v>2493000</v>
      </c>
      <c r="G42" s="312"/>
      <c r="H42" s="1123">
        <f t="shared" si="0"/>
        <v>112500</v>
      </c>
      <c r="I42" s="1108"/>
      <c r="J42" s="305"/>
      <c r="K42" s="208"/>
    </row>
    <row r="43" spans="1:12" s="209" customFormat="1" ht="30.75" customHeight="1" x14ac:dyDescent="0.25">
      <c r="A43" s="1124" t="s">
        <v>250</v>
      </c>
      <c r="B43" s="245">
        <v>4.5</v>
      </c>
      <c r="C43" s="1122">
        <v>43369</v>
      </c>
      <c r="D43" s="1122">
        <v>53827</v>
      </c>
      <c r="E43" s="246">
        <v>5000000</v>
      </c>
      <c r="F43" s="247">
        <v>4982500</v>
      </c>
      <c r="G43" s="312"/>
      <c r="H43" s="1123">
        <f t="shared" si="0"/>
        <v>225000</v>
      </c>
      <c r="I43" s="1108"/>
      <c r="J43" s="305"/>
      <c r="K43" s="208"/>
    </row>
    <row r="44" spans="1:12" s="209" customFormat="1" ht="30.75" customHeight="1" x14ac:dyDescent="0.25">
      <c r="A44" s="1124" t="s">
        <v>251</v>
      </c>
      <c r="B44" s="245">
        <v>4.5</v>
      </c>
      <c r="C44" s="1122">
        <v>43370</v>
      </c>
      <c r="D44" s="1122">
        <v>53827</v>
      </c>
      <c r="E44" s="246">
        <v>2405224.27</v>
      </c>
      <c r="F44" s="247">
        <v>2389590.31</v>
      </c>
      <c r="G44" s="312"/>
      <c r="H44" s="1123">
        <f t="shared" si="0"/>
        <v>108235.09</v>
      </c>
      <c r="I44" s="1108"/>
      <c r="J44" s="305"/>
      <c r="K44" s="208"/>
    </row>
    <row r="45" spans="1:12" s="209" customFormat="1" ht="28.5" customHeight="1" x14ac:dyDescent="0.25">
      <c r="A45" s="1125" t="s">
        <v>171</v>
      </c>
      <c r="B45" s="1117"/>
      <c r="C45" s="1126"/>
      <c r="D45" s="1126"/>
      <c r="E45" s="1119">
        <f>SUM(E46:E47)</f>
        <v>32501903.09</v>
      </c>
      <c r="F45" s="1119">
        <f>SUM(F46:G47)</f>
        <v>31874619.879999999</v>
      </c>
      <c r="G45" s="310"/>
      <c r="H45" s="1123"/>
      <c r="I45" s="1108"/>
      <c r="J45" s="305"/>
      <c r="K45" s="208"/>
    </row>
    <row r="46" spans="1:12" s="209" customFormat="1" ht="30.75" customHeight="1" x14ac:dyDescent="0.25">
      <c r="A46" s="237" t="s">
        <v>589</v>
      </c>
      <c r="B46" s="245">
        <v>4.5</v>
      </c>
      <c r="C46" s="1122">
        <v>43206</v>
      </c>
      <c r="D46" s="1122">
        <v>54894</v>
      </c>
      <c r="E46" s="246">
        <v>24501903.09</v>
      </c>
      <c r="F46" s="246">
        <v>24396299.879999999</v>
      </c>
      <c r="G46" s="310"/>
      <c r="H46" s="1123">
        <f t="shared" si="0"/>
        <v>1102585.6399999999</v>
      </c>
      <c r="I46" s="1108"/>
      <c r="J46" s="305"/>
      <c r="K46" s="208"/>
    </row>
    <row r="47" spans="1:12" s="209" customFormat="1" ht="30.75" customHeight="1" x14ac:dyDescent="0.25">
      <c r="A47" s="237" t="s">
        <v>590</v>
      </c>
      <c r="B47" s="245">
        <v>4.5</v>
      </c>
      <c r="C47" s="1122">
        <v>43398</v>
      </c>
      <c r="D47" s="1122">
        <v>54894</v>
      </c>
      <c r="E47" s="246">
        <v>8000000</v>
      </c>
      <c r="F47" s="246">
        <v>7478320</v>
      </c>
      <c r="G47" s="310"/>
      <c r="H47" s="1123">
        <f t="shared" si="0"/>
        <v>360000</v>
      </c>
      <c r="I47" s="1108"/>
      <c r="J47" s="305"/>
      <c r="K47" s="208"/>
    </row>
    <row r="48" spans="1:12" s="209" customFormat="1" ht="28.5" customHeight="1" x14ac:dyDescent="0.25">
      <c r="A48" s="1116" t="s">
        <v>253</v>
      </c>
      <c r="B48" s="1117"/>
      <c r="C48" s="1118"/>
      <c r="D48" s="1118"/>
      <c r="E48" s="1119">
        <f>SUM(E49:E51)</f>
        <v>75731842.739999995</v>
      </c>
      <c r="F48" s="1119">
        <f>SUM(F49:F51)</f>
        <v>84567948.400000006</v>
      </c>
      <c r="G48" s="312"/>
      <c r="H48" s="1123"/>
      <c r="I48" s="1108"/>
      <c r="J48" s="305"/>
      <c r="K48" s="208"/>
    </row>
    <row r="49" spans="1:12" s="209" customFormat="1" ht="29.25" customHeight="1" x14ac:dyDescent="0.25">
      <c r="A49" s="1124" t="s">
        <v>254</v>
      </c>
      <c r="B49" s="245">
        <v>4.3</v>
      </c>
      <c r="C49" s="1122">
        <v>41484</v>
      </c>
      <c r="D49" s="1122">
        <v>56003</v>
      </c>
      <c r="E49" s="246">
        <v>2000000</v>
      </c>
      <c r="F49" s="247">
        <v>1690000</v>
      </c>
      <c r="G49" s="312"/>
      <c r="H49" s="1123">
        <f t="shared" si="0"/>
        <v>86000</v>
      </c>
      <c r="I49" s="1108"/>
      <c r="J49" s="277"/>
      <c r="K49" s="1120"/>
      <c r="L49" s="308"/>
    </row>
    <row r="50" spans="1:12" s="209" customFormat="1" ht="29.25" customHeight="1" x14ac:dyDescent="0.25">
      <c r="A50" s="1124" t="s">
        <v>255</v>
      </c>
      <c r="B50" s="245">
        <v>4.3</v>
      </c>
      <c r="C50" s="1122">
        <v>41492</v>
      </c>
      <c r="D50" s="1122">
        <v>56003</v>
      </c>
      <c r="E50" s="246">
        <v>2000000</v>
      </c>
      <c r="F50" s="247">
        <v>1630000</v>
      </c>
      <c r="G50" s="312"/>
      <c r="H50" s="1123">
        <f t="shared" si="0"/>
        <v>86000</v>
      </c>
      <c r="I50" s="1108"/>
      <c r="J50" s="305"/>
      <c r="K50" s="208"/>
    </row>
    <row r="51" spans="1:12" s="209" customFormat="1" ht="29.25" customHeight="1" x14ac:dyDescent="0.25">
      <c r="A51" s="1124" t="s">
        <v>120</v>
      </c>
      <c r="B51" s="245">
        <v>4.3</v>
      </c>
      <c r="C51" s="1122">
        <v>43795</v>
      </c>
      <c r="D51" s="1122">
        <v>56003</v>
      </c>
      <c r="E51" s="246">
        <v>71731842.739999995</v>
      </c>
      <c r="F51" s="247">
        <v>81247948.400000006</v>
      </c>
      <c r="G51" s="312"/>
      <c r="H51" s="1123">
        <f t="shared" si="0"/>
        <v>3084469.24</v>
      </c>
      <c r="I51" s="1108"/>
      <c r="J51" s="305"/>
      <c r="K51" s="208"/>
    </row>
    <row r="52" spans="1:12" s="209" customFormat="1" ht="31.5" customHeight="1" x14ac:dyDescent="0.25">
      <c r="A52" s="1116" t="s">
        <v>256</v>
      </c>
      <c r="B52" s="1117"/>
      <c r="C52" s="1118"/>
      <c r="D52" s="1118"/>
      <c r="E52" s="1119">
        <f>SUM(E53)</f>
        <v>65020145.530000001</v>
      </c>
      <c r="F52" s="1119">
        <f>SUM(F53)</f>
        <v>71776388.849999994</v>
      </c>
      <c r="G52" s="312"/>
      <c r="H52" s="1123"/>
      <c r="I52" s="1108"/>
      <c r="J52" s="305"/>
      <c r="K52" s="208"/>
    </row>
    <row r="53" spans="1:12" s="209" customFormat="1" ht="35.25" customHeight="1" x14ac:dyDescent="0.25">
      <c r="A53" s="1124" t="s">
        <v>257</v>
      </c>
      <c r="B53" s="245">
        <v>3.87</v>
      </c>
      <c r="C53" s="1122">
        <v>44223</v>
      </c>
      <c r="D53" s="1122">
        <v>58645</v>
      </c>
      <c r="E53" s="246">
        <v>65020145.530000001</v>
      </c>
      <c r="F53" s="247">
        <v>71776388.849999994</v>
      </c>
      <c r="G53" s="312"/>
      <c r="H53" s="1123">
        <f t="shared" si="0"/>
        <v>2516279.63</v>
      </c>
      <c r="I53" s="1108"/>
      <c r="J53" s="305"/>
      <c r="K53" s="208"/>
    </row>
    <row r="54" spans="1:12" s="209" customFormat="1" ht="22.5" customHeight="1" x14ac:dyDescent="0.25">
      <c r="A54" s="1127" t="s">
        <v>157</v>
      </c>
      <c r="B54" s="245"/>
      <c r="C54" s="1122"/>
      <c r="D54" s="1122"/>
      <c r="E54" s="1128">
        <f>SUM(E55+E68+E70+E73)</f>
        <v>558069109.5</v>
      </c>
      <c r="F54" s="1128">
        <f>SUM(F55+F68+F70+F73)</f>
        <v>570856746.35000002</v>
      </c>
      <c r="G54" s="312"/>
      <c r="H54" s="305">
        <f>SUM(H12:H53)</f>
        <v>10364616.24</v>
      </c>
      <c r="I54" s="1108">
        <f>H54/F10</f>
        <v>3.8699999999999998E-2</v>
      </c>
      <c r="J54" s="305">
        <f>F52+F48+F45+F39+F24+F20+F18+F11</f>
        <v>268022280.68000001</v>
      </c>
      <c r="K54" s="208" t="s">
        <v>591</v>
      </c>
    </row>
    <row r="55" spans="1:12" s="209" customFormat="1" ht="29.25" customHeight="1" x14ac:dyDescent="0.25">
      <c r="A55" s="1125" t="s">
        <v>124</v>
      </c>
      <c r="B55" s="1117"/>
      <c r="C55" s="1118"/>
      <c r="D55" s="1118"/>
      <c r="E55" s="1129">
        <f>SUM(E56:E67)</f>
        <v>175339190.25</v>
      </c>
      <c r="F55" s="1129">
        <f>SUM(F56:F67)</f>
        <v>188142157.09999999</v>
      </c>
      <c r="G55" s="310"/>
      <c r="H55" s="1123"/>
      <c r="I55" s="1108"/>
      <c r="J55" s="305"/>
      <c r="K55" s="208"/>
    </row>
    <row r="56" spans="1:12" s="209" customFormat="1" ht="29.25" customHeight="1" x14ac:dyDescent="0.25">
      <c r="A56" s="1124" t="s">
        <v>181</v>
      </c>
      <c r="B56" s="245">
        <v>4.95</v>
      </c>
      <c r="C56" s="1122">
        <v>41603</v>
      </c>
      <c r="D56" s="1122">
        <v>45436</v>
      </c>
      <c r="E56" s="246">
        <v>11721000</v>
      </c>
      <c r="F56" s="247">
        <v>11486580</v>
      </c>
      <c r="G56" s="310"/>
      <c r="H56" s="1123">
        <f t="shared" si="0"/>
        <v>580189.5</v>
      </c>
      <c r="I56" s="1108"/>
      <c r="J56" s="305"/>
      <c r="K56" s="208"/>
    </row>
    <row r="57" spans="1:12" ht="29.25" customHeight="1" x14ac:dyDescent="0.3">
      <c r="A57" s="1124" t="s">
        <v>183</v>
      </c>
      <c r="B57" s="245">
        <v>4.95</v>
      </c>
      <c r="C57" s="1122">
        <v>42545</v>
      </c>
      <c r="D57" s="1122">
        <v>45436</v>
      </c>
      <c r="E57" s="246">
        <v>14516352.58</v>
      </c>
      <c r="F57" s="247">
        <v>15430882.789999999</v>
      </c>
      <c r="G57" s="251"/>
      <c r="H57" s="1123">
        <f t="shared" si="0"/>
        <v>718559.45</v>
      </c>
      <c r="I57" s="1108"/>
      <c r="K57" s="207"/>
    </row>
    <row r="58" spans="1:12" ht="29.25" customHeight="1" x14ac:dyDescent="0.3">
      <c r="A58" s="1124" t="s">
        <v>183</v>
      </c>
      <c r="B58" s="245">
        <v>4.95</v>
      </c>
      <c r="C58" s="1122">
        <v>42545</v>
      </c>
      <c r="D58" s="1122">
        <v>45436</v>
      </c>
      <c r="E58" s="246">
        <v>8929854.5</v>
      </c>
      <c r="F58" s="247">
        <v>9483505.4800000004</v>
      </c>
      <c r="G58" s="251"/>
      <c r="H58" s="1123">
        <f t="shared" si="0"/>
        <v>442027.8</v>
      </c>
      <c r="I58" s="1108"/>
      <c r="K58" s="207"/>
    </row>
    <row r="59" spans="1:12" ht="29.25" customHeight="1" x14ac:dyDescent="0.3">
      <c r="A59" s="1124" t="s">
        <v>125</v>
      </c>
      <c r="B59" s="245">
        <v>4.95</v>
      </c>
      <c r="C59" s="1122">
        <v>42573</v>
      </c>
      <c r="D59" s="1122">
        <v>45436</v>
      </c>
      <c r="E59" s="246">
        <v>8581496.1699999999</v>
      </c>
      <c r="F59" s="247">
        <v>9250852.8699999992</v>
      </c>
      <c r="G59" s="251"/>
      <c r="H59" s="1123">
        <f t="shared" si="0"/>
        <v>424784.06</v>
      </c>
      <c r="I59" s="1108"/>
      <c r="K59" s="207"/>
    </row>
    <row r="60" spans="1:12" ht="29.25" customHeight="1" x14ac:dyDescent="0.3">
      <c r="A60" s="1124" t="s">
        <v>263</v>
      </c>
      <c r="B60" s="245">
        <v>4.95</v>
      </c>
      <c r="C60" s="1122">
        <v>42657</v>
      </c>
      <c r="D60" s="1122">
        <v>45436</v>
      </c>
      <c r="E60" s="246">
        <v>16500000</v>
      </c>
      <c r="F60" s="247">
        <v>18136800</v>
      </c>
      <c r="G60" s="251"/>
      <c r="H60" s="1123">
        <f t="shared" si="0"/>
        <v>816750</v>
      </c>
      <c r="I60" s="1108"/>
      <c r="K60" s="207"/>
    </row>
    <row r="61" spans="1:12" ht="29.25" customHeight="1" x14ac:dyDescent="0.3">
      <c r="A61" s="1124" t="s">
        <v>264</v>
      </c>
      <c r="B61" s="245">
        <v>4.95</v>
      </c>
      <c r="C61" s="1122">
        <v>42811</v>
      </c>
      <c r="D61" s="1122">
        <v>45436</v>
      </c>
      <c r="E61" s="246">
        <v>11858323.630000001</v>
      </c>
      <c r="F61" s="247">
        <v>12842564.49</v>
      </c>
      <c r="G61" s="251"/>
      <c r="H61" s="1123">
        <f t="shared" si="0"/>
        <v>586987.02</v>
      </c>
      <c r="I61" s="1108"/>
      <c r="K61" s="207"/>
    </row>
    <row r="62" spans="1:12" ht="29.25" customHeight="1" x14ac:dyDescent="0.3">
      <c r="A62" s="1124" t="s">
        <v>265</v>
      </c>
      <c r="B62" s="245">
        <v>4.95</v>
      </c>
      <c r="C62" s="1122">
        <v>42909</v>
      </c>
      <c r="D62" s="1122">
        <v>45436</v>
      </c>
      <c r="E62" s="246">
        <v>13361963.42</v>
      </c>
      <c r="F62" s="247">
        <v>14471006.380000001</v>
      </c>
      <c r="G62" s="251"/>
      <c r="H62" s="1123">
        <f t="shared" si="0"/>
        <v>661417.18999999994</v>
      </c>
      <c r="I62" s="1108"/>
      <c r="K62" s="207"/>
    </row>
    <row r="63" spans="1:12" ht="29.25" customHeight="1" x14ac:dyDescent="0.3">
      <c r="A63" s="1124" t="s">
        <v>265</v>
      </c>
      <c r="B63" s="245">
        <v>4.95</v>
      </c>
      <c r="C63" s="1122">
        <v>42909</v>
      </c>
      <c r="D63" s="1122">
        <v>45436</v>
      </c>
      <c r="E63" s="246">
        <v>9850000</v>
      </c>
      <c r="F63" s="247">
        <v>10707935</v>
      </c>
      <c r="G63" s="251"/>
      <c r="H63" s="1123">
        <f t="shared" si="0"/>
        <v>487575</v>
      </c>
      <c r="I63" s="1108"/>
      <c r="K63" s="207"/>
    </row>
    <row r="64" spans="1:12" ht="29.25" customHeight="1" x14ac:dyDescent="0.3">
      <c r="A64" s="1124" t="s">
        <v>265</v>
      </c>
      <c r="B64" s="245">
        <v>4.95</v>
      </c>
      <c r="C64" s="1122">
        <v>42909</v>
      </c>
      <c r="D64" s="1122">
        <v>45436</v>
      </c>
      <c r="E64" s="246">
        <v>9850000</v>
      </c>
      <c r="F64" s="247">
        <v>10707935</v>
      </c>
      <c r="G64" s="251"/>
      <c r="H64" s="1123">
        <f t="shared" si="0"/>
        <v>487575</v>
      </c>
      <c r="I64" s="1108"/>
      <c r="K64" s="207"/>
    </row>
    <row r="65" spans="1:11" ht="29.25" customHeight="1" x14ac:dyDescent="0.3">
      <c r="A65" s="1121" t="s">
        <v>266</v>
      </c>
      <c r="B65" s="245">
        <v>4.95</v>
      </c>
      <c r="C65" s="1122" t="s">
        <v>267</v>
      </c>
      <c r="D65" s="1122">
        <v>45436</v>
      </c>
      <c r="E65" s="246">
        <v>12367734.109999999</v>
      </c>
      <c r="F65" s="247">
        <v>13505565.65</v>
      </c>
      <c r="G65" s="251"/>
      <c r="H65" s="1123">
        <f t="shared" si="0"/>
        <v>612202.84</v>
      </c>
      <c r="I65" s="1108"/>
      <c r="K65" s="207"/>
    </row>
    <row r="66" spans="1:11" ht="29.25" customHeight="1" x14ac:dyDescent="0.3">
      <c r="A66" s="1121" t="s">
        <v>126</v>
      </c>
      <c r="B66" s="245">
        <v>4.95</v>
      </c>
      <c r="C66" s="1122">
        <v>43385</v>
      </c>
      <c r="D66" s="1122">
        <v>45436</v>
      </c>
      <c r="E66" s="246">
        <v>8925056.5099999998</v>
      </c>
      <c r="F66" s="247">
        <v>9487335.0700000003</v>
      </c>
      <c r="G66" s="251"/>
      <c r="H66" s="1123">
        <f t="shared" si="0"/>
        <v>441790.3</v>
      </c>
      <c r="I66" s="1108"/>
      <c r="K66" s="207"/>
    </row>
    <row r="67" spans="1:11" ht="29.25" customHeight="1" x14ac:dyDescent="0.3">
      <c r="A67" s="1121" t="s">
        <v>268</v>
      </c>
      <c r="B67" s="245">
        <v>4.95</v>
      </c>
      <c r="C67" s="1122">
        <v>43630</v>
      </c>
      <c r="D67" s="1122">
        <v>45436</v>
      </c>
      <c r="E67" s="246">
        <v>48877409.329999998</v>
      </c>
      <c r="F67" s="247">
        <f>E67*G67/100</f>
        <v>52631194.369999997</v>
      </c>
      <c r="G67" s="232">
        <v>107.68</v>
      </c>
      <c r="H67" s="1123">
        <f t="shared" si="0"/>
        <v>2419431.7599999998</v>
      </c>
      <c r="I67" s="1108"/>
      <c r="K67" s="207"/>
    </row>
    <row r="68" spans="1:11" s="209" customFormat="1" ht="28.5" customHeight="1" x14ac:dyDescent="0.25">
      <c r="A68" s="1125" t="s">
        <v>269</v>
      </c>
      <c r="B68" s="1130"/>
      <c r="C68" s="1118"/>
      <c r="D68" s="1118"/>
      <c r="E68" s="1119">
        <f>SUM(E69)</f>
        <v>88196879.25</v>
      </c>
      <c r="F68" s="1119">
        <f>SUM(F69)</f>
        <v>88196879.25</v>
      </c>
      <c r="G68" s="310"/>
      <c r="H68" s="1123"/>
      <c r="I68" s="1108"/>
      <c r="J68" s="305"/>
      <c r="K68" s="208"/>
    </row>
    <row r="69" spans="1:11" s="209" customFormat="1" ht="45" customHeight="1" x14ac:dyDescent="0.25">
      <c r="A69" s="316" t="s">
        <v>270</v>
      </c>
      <c r="B69" s="1131">
        <v>3</v>
      </c>
      <c r="C69" s="1122">
        <v>44260</v>
      </c>
      <c r="D69" s="1122">
        <v>47479</v>
      </c>
      <c r="E69" s="246">
        <v>88196879.25</v>
      </c>
      <c r="F69" s="246">
        <v>88196879.25</v>
      </c>
      <c r="G69" s="310"/>
      <c r="H69" s="1123">
        <f t="shared" si="0"/>
        <v>2645906.38</v>
      </c>
      <c r="I69" s="1108"/>
      <c r="J69" s="305"/>
      <c r="K69" s="208"/>
    </row>
    <row r="70" spans="1:11" s="209" customFormat="1" ht="28.5" customHeight="1" x14ac:dyDescent="0.25">
      <c r="A70" s="1125" t="s">
        <v>271</v>
      </c>
      <c r="B70" s="1130"/>
      <c r="C70" s="1118"/>
      <c r="D70" s="1118"/>
      <c r="E70" s="1119">
        <f>SUM(E71:E72)</f>
        <v>62100000</v>
      </c>
      <c r="F70" s="1119">
        <f>SUM(F71:F72)</f>
        <v>62084670</v>
      </c>
      <c r="G70" s="310"/>
      <c r="H70" s="1123"/>
      <c r="I70" s="1108"/>
      <c r="J70" s="305"/>
      <c r="K70" s="208"/>
    </row>
    <row r="71" spans="1:11" s="209" customFormat="1" ht="30.75" customHeight="1" x14ac:dyDescent="0.25">
      <c r="A71" s="237" t="s">
        <v>129</v>
      </c>
      <c r="B71" s="274">
        <v>3.3620000000000001</v>
      </c>
      <c r="C71" s="1122">
        <v>44377</v>
      </c>
      <c r="D71" s="1122">
        <v>48029</v>
      </c>
      <c r="E71" s="1132">
        <v>60000000</v>
      </c>
      <c r="F71" s="1132">
        <v>60000000</v>
      </c>
      <c r="G71" s="310"/>
      <c r="H71" s="1123">
        <f t="shared" si="0"/>
        <v>2017200</v>
      </c>
      <c r="I71" s="1108"/>
      <c r="J71" s="305"/>
      <c r="K71" s="208"/>
    </row>
    <row r="72" spans="1:11" s="209" customFormat="1" ht="30.75" customHeight="1" x14ac:dyDescent="0.25">
      <c r="A72" s="237" t="s">
        <v>129</v>
      </c>
      <c r="B72" s="274">
        <v>3.3620000000000001</v>
      </c>
      <c r="C72" s="1122">
        <v>44377</v>
      </c>
      <c r="D72" s="1122">
        <v>48029</v>
      </c>
      <c r="E72" s="1132">
        <v>2100000</v>
      </c>
      <c r="F72" s="1132">
        <v>2084670</v>
      </c>
      <c r="G72" s="310"/>
      <c r="H72" s="1123">
        <f t="shared" si="0"/>
        <v>70602</v>
      </c>
      <c r="I72" s="1108"/>
      <c r="J72" s="305"/>
      <c r="K72" s="208"/>
    </row>
    <row r="73" spans="1:11" s="209" customFormat="1" ht="28.5" customHeight="1" x14ac:dyDescent="0.25">
      <c r="A73" s="1125" t="s">
        <v>592</v>
      </c>
      <c r="B73" s="1130"/>
      <c r="C73" s="1118"/>
      <c r="D73" s="1118"/>
      <c r="E73" s="1119">
        <f>SUM(E74:E75)</f>
        <v>232433040</v>
      </c>
      <c r="F73" s="1119">
        <f>SUM(F74:F75)</f>
        <v>232433040</v>
      </c>
      <c r="G73" s="310"/>
      <c r="H73" s="1123"/>
      <c r="I73" s="1108"/>
      <c r="J73" s="305"/>
      <c r="K73" s="208"/>
    </row>
    <row r="74" spans="1:11" s="209" customFormat="1" ht="30.75" customHeight="1" x14ac:dyDescent="0.25">
      <c r="A74" s="237" t="s">
        <v>593</v>
      </c>
      <c r="B74" s="274">
        <v>5.2</v>
      </c>
      <c r="C74" s="1122">
        <v>44747</v>
      </c>
      <c r="D74" s="1122">
        <v>49130</v>
      </c>
      <c r="E74" s="1132">
        <v>231711480</v>
      </c>
      <c r="F74" s="1132">
        <v>231711480</v>
      </c>
      <c r="G74" s="310"/>
      <c r="H74" s="1123">
        <f t="shared" si="0"/>
        <v>12048996.960000001</v>
      </c>
      <c r="I74" s="1108"/>
      <c r="J74" s="305"/>
      <c r="K74" s="208"/>
    </row>
    <row r="75" spans="1:11" s="209" customFormat="1" ht="30.75" customHeight="1" x14ac:dyDescent="0.25">
      <c r="A75" s="237" t="s">
        <v>594</v>
      </c>
      <c r="B75" s="274">
        <v>5.2</v>
      </c>
      <c r="C75" s="1122">
        <v>44747</v>
      </c>
      <c r="D75" s="1122">
        <v>49130</v>
      </c>
      <c r="E75" s="1132">
        <v>721560</v>
      </c>
      <c r="F75" s="1132">
        <v>721560</v>
      </c>
      <c r="G75" s="310"/>
      <c r="H75" s="1123">
        <f t="shared" si="0"/>
        <v>37521.120000000003</v>
      </c>
      <c r="I75" s="1108"/>
      <c r="J75" s="305"/>
      <c r="K75" s="208"/>
    </row>
    <row r="76" spans="1:11" s="209" customFormat="1" ht="27" customHeight="1" x14ac:dyDescent="0.25">
      <c r="A76" s="1127" t="s">
        <v>595</v>
      </c>
      <c r="B76" s="274"/>
      <c r="C76" s="1122"/>
      <c r="D76" s="1122"/>
      <c r="E76" s="1133">
        <f>SUM(E77+E84)</f>
        <v>165283481.94</v>
      </c>
      <c r="F76" s="1133">
        <f>SUM(F77+F84)</f>
        <v>164467089.59999999</v>
      </c>
      <c r="G76" s="310"/>
      <c r="H76" s="305">
        <f>SUM(H56:H75)</f>
        <v>25499516.379999999</v>
      </c>
      <c r="I76" s="1108">
        <f>H76/F54</f>
        <v>4.4699999999999997E-2</v>
      </c>
      <c r="J76" s="305">
        <f>F73+F70+F68+F55</f>
        <v>570856746.35000002</v>
      </c>
      <c r="K76" s="208" t="s">
        <v>121</v>
      </c>
    </row>
    <row r="77" spans="1:11" s="209" customFormat="1" ht="30.75" customHeight="1" x14ac:dyDescent="0.25">
      <c r="A77" s="1125" t="s">
        <v>206</v>
      </c>
      <c r="B77" s="1134"/>
      <c r="C77" s="1135"/>
      <c r="D77" s="1135"/>
      <c r="E77" s="1119">
        <f>SUM(E78:E83)</f>
        <v>125150256.38</v>
      </c>
      <c r="F77" s="1119">
        <f>SUM(F78:F83)</f>
        <v>124395267.87</v>
      </c>
      <c r="G77" s="310"/>
      <c r="H77" s="1123"/>
      <c r="I77" s="1108"/>
      <c r="J77" s="305"/>
      <c r="K77" s="208"/>
    </row>
    <row r="78" spans="1:11" s="209" customFormat="1" ht="30" customHeight="1" x14ac:dyDescent="0.25">
      <c r="A78" s="237" t="s">
        <v>207</v>
      </c>
      <c r="B78" s="245">
        <v>3</v>
      </c>
      <c r="C78" s="1122">
        <v>43182</v>
      </c>
      <c r="D78" s="1122">
        <v>45198</v>
      </c>
      <c r="E78" s="246">
        <v>43383312.270000003</v>
      </c>
      <c r="F78" s="247">
        <v>43326913.960000001</v>
      </c>
      <c r="G78" s="310"/>
      <c r="H78" s="1123">
        <f t="shared" ref="H78:H141" si="1">E78*B78/100</f>
        <v>1301499.3700000001</v>
      </c>
      <c r="I78" s="1108"/>
      <c r="J78" s="305"/>
      <c r="K78" s="208"/>
    </row>
    <row r="79" spans="1:11" s="209" customFormat="1" ht="30" customHeight="1" x14ac:dyDescent="0.25">
      <c r="A79" s="237" t="s">
        <v>132</v>
      </c>
      <c r="B79" s="245">
        <v>3</v>
      </c>
      <c r="C79" s="1122">
        <v>43245</v>
      </c>
      <c r="D79" s="1122">
        <v>45198</v>
      </c>
      <c r="E79" s="246">
        <v>1288995.04</v>
      </c>
      <c r="F79" s="247">
        <v>1279456.48</v>
      </c>
      <c r="G79" s="310"/>
      <c r="H79" s="1123">
        <f t="shared" si="1"/>
        <v>38669.85</v>
      </c>
      <c r="I79" s="1108"/>
      <c r="J79" s="305"/>
      <c r="K79" s="208"/>
    </row>
    <row r="80" spans="1:11" s="209" customFormat="1" ht="30" customHeight="1" x14ac:dyDescent="0.25">
      <c r="A80" s="237" t="s">
        <v>208</v>
      </c>
      <c r="B80" s="245">
        <v>3</v>
      </c>
      <c r="C80" s="1122">
        <v>43280</v>
      </c>
      <c r="D80" s="1122">
        <v>45198</v>
      </c>
      <c r="E80" s="246">
        <v>12857047.48</v>
      </c>
      <c r="F80" s="247">
        <v>12722048.48</v>
      </c>
      <c r="G80" s="310"/>
      <c r="H80" s="1123">
        <f t="shared" si="1"/>
        <v>385711.42</v>
      </c>
      <c r="I80" s="1108"/>
      <c r="J80" s="305"/>
      <c r="K80" s="208"/>
    </row>
    <row r="81" spans="1:11" s="209" customFormat="1" ht="30" customHeight="1" x14ac:dyDescent="0.25">
      <c r="A81" s="237" t="s">
        <v>133</v>
      </c>
      <c r="B81" s="245">
        <v>3</v>
      </c>
      <c r="C81" s="1122">
        <v>43336</v>
      </c>
      <c r="D81" s="1122">
        <v>45198</v>
      </c>
      <c r="E81" s="246">
        <v>22437187.57</v>
      </c>
      <c r="F81" s="247">
        <f>E81*0.9895</f>
        <v>22201597.100000001</v>
      </c>
      <c r="G81" s="310"/>
      <c r="H81" s="1123">
        <f t="shared" si="1"/>
        <v>673115.63</v>
      </c>
      <c r="I81" s="1108"/>
      <c r="J81" s="305"/>
      <c r="K81" s="208"/>
    </row>
    <row r="82" spans="1:11" s="209" customFormat="1" ht="30" customHeight="1" x14ac:dyDescent="0.25">
      <c r="A82" s="237" t="s">
        <v>272</v>
      </c>
      <c r="B82" s="245">
        <v>3</v>
      </c>
      <c r="C82" s="1122">
        <v>43364</v>
      </c>
      <c r="D82" s="1122">
        <v>45198</v>
      </c>
      <c r="E82" s="246">
        <v>24388137.170000002</v>
      </c>
      <c r="F82" s="247">
        <v>24132061.73</v>
      </c>
      <c r="G82" s="310"/>
      <c r="H82" s="1123">
        <f t="shared" si="1"/>
        <v>731644.12</v>
      </c>
      <c r="I82" s="1108"/>
      <c r="J82" s="305"/>
      <c r="K82" s="208"/>
    </row>
    <row r="83" spans="1:11" s="209" customFormat="1" ht="30" customHeight="1" x14ac:dyDescent="0.25">
      <c r="A83" s="237" t="s">
        <v>273</v>
      </c>
      <c r="B83" s="245">
        <v>3</v>
      </c>
      <c r="C83" s="1122">
        <v>43609</v>
      </c>
      <c r="D83" s="1122">
        <v>45198</v>
      </c>
      <c r="E83" s="246">
        <f>795576.85+20000000</f>
        <v>20795576.850000001</v>
      </c>
      <c r="F83" s="247">
        <f>793190.12+19940000</f>
        <v>20733190.120000001</v>
      </c>
      <c r="G83" s="310"/>
      <c r="H83" s="1123">
        <f t="shared" si="1"/>
        <v>623867.31000000006</v>
      </c>
      <c r="I83" s="1108"/>
      <c r="J83" s="305"/>
      <c r="K83" s="208"/>
    </row>
    <row r="84" spans="1:11" s="209" customFormat="1" ht="30" customHeight="1" x14ac:dyDescent="0.25">
      <c r="A84" s="1125" t="s">
        <v>274</v>
      </c>
      <c r="B84" s="1136"/>
      <c r="C84" s="1126"/>
      <c r="D84" s="1126"/>
      <c r="E84" s="1119">
        <f>SUM(E85)</f>
        <v>40133225.560000002</v>
      </c>
      <c r="F84" s="1119">
        <f>SUM(F85)</f>
        <v>40071821.729999997</v>
      </c>
      <c r="G84" s="310"/>
      <c r="H84" s="1123"/>
      <c r="I84" s="1108"/>
      <c r="J84" s="305"/>
      <c r="K84" s="208"/>
    </row>
    <row r="85" spans="1:11" s="209" customFormat="1" ht="31.5" customHeight="1" x14ac:dyDescent="0.25">
      <c r="A85" s="237" t="s">
        <v>136</v>
      </c>
      <c r="B85" s="245">
        <v>3.75</v>
      </c>
      <c r="C85" s="1122">
        <v>43572</v>
      </c>
      <c r="D85" s="1122">
        <v>46129</v>
      </c>
      <c r="E85" s="246">
        <v>40133225.560000002</v>
      </c>
      <c r="F85" s="247">
        <v>40071821.729999997</v>
      </c>
      <c r="G85" s="310"/>
      <c r="H85" s="1123">
        <f t="shared" si="1"/>
        <v>1504995.96</v>
      </c>
      <c r="I85" s="1108"/>
      <c r="J85" s="305"/>
      <c r="K85" s="208"/>
    </row>
    <row r="86" spans="1:11" s="209" customFormat="1" ht="22.5" customHeight="1" x14ac:dyDescent="0.25">
      <c r="A86" s="1127" t="s">
        <v>596</v>
      </c>
      <c r="B86" s="1136"/>
      <c r="C86" s="1126"/>
      <c r="D86" s="1126"/>
      <c r="E86" s="1119">
        <f>SUM(E87:E92)</f>
        <v>46497044.289999999</v>
      </c>
      <c r="F86" s="1119">
        <f>SUM(F87:F92)</f>
        <v>45274239.439999998</v>
      </c>
      <c r="G86" s="310"/>
      <c r="H86" s="305">
        <f>SUM(H78:H85)</f>
        <v>5259503.66</v>
      </c>
      <c r="I86" s="1108">
        <f>H86/F76</f>
        <v>3.2000000000000001E-2</v>
      </c>
      <c r="J86" s="305">
        <f>F84+F77</f>
        <v>164467089.59999999</v>
      </c>
      <c r="K86" s="208" t="s">
        <v>597</v>
      </c>
    </row>
    <row r="87" spans="1:11" s="209" customFormat="1" ht="30.75" customHeight="1" x14ac:dyDescent="0.25">
      <c r="A87" s="237" t="s">
        <v>598</v>
      </c>
      <c r="B87" s="245">
        <v>0</v>
      </c>
      <c r="C87" s="1122">
        <v>44673</v>
      </c>
      <c r="D87" s="1122">
        <v>45037</v>
      </c>
      <c r="E87" s="246">
        <v>4812537.5</v>
      </c>
      <c r="F87" s="247">
        <v>4710030.45</v>
      </c>
      <c r="G87" s="310"/>
      <c r="H87" s="1123">
        <f t="shared" si="1"/>
        <v>0</v>
      </c>
      <c r="I87" s="1108"/>
      <c r="J87" s="305"/>
      <c r="K87" s="208"/>
    </row>
    <row r="88" spans="1:11" s="209" customFormat="1" ht="30.75" customHeight="1" x14ac:dyDescent="0.25">
      <c r="A88" s="237" t="s">
        <v>598</v>
      </c>
      <c r="B88" s="245">
        <v>0</v>
      </c>
      <c r="C88" s="1122">
        <v>44673</v>
      </c>
      <c r="D88" s="1122">
        <v>45037</v>
      </c>
      <c r="E88" s="246">
        <v>5000000</v>
      </c>
      <c r="F88" s="247">
        <v>4891000</v>
      </c>
      <c r="G88" s="310"/>
      <c r="H88" s="1123">
        <f t="shared" si="1"/>
        <v>0</v>
      </c>
      <c r="I88" s="1108"/>
      <c r="J88" s="305"/>
      <c r="K88" s="208"/>
    </row>
    <row r="89" spans="1:11" s="209" customFormat="1" ht="30.75" customHeight="1" x14ac:dyDescent="0.25">
      <c r="A89" s="237" t="s">
        <v>599</v>
      </c>
      <c r="B89" s="245">
        <v>0</v>
      </c>
      <c r="C89" s="1122">
        <v>44694</v>
      </c>
      <c r="D89" s="1122">
        <v>45058</v>
      </c>
      <c r="E89" s="246">
        <v>5850000</v>
      </c>
      <c r="F89" s="247">
        <v>5708430</v>
      </c>
      <c r="G89" s="310"/>
      <c r="H89" s="1123">
        <f t="shared" si="1"/>
        <v>0</v>
      </c>
      <c r="I89" s="1108">
        <f>J89/F86</f>
        <v>2.7E-2</v>
      </c>
      <c r="J89" s="305">
        <f>E86-F86</f>
        <v>1222804.8500000001</v>
      </c>
      <c r="K89" s="208"/>
    </row>
    <row r="90" spans="1:11" s="209" customFormat="1" ht="30.75" customHeight="1" x14ac:dyDescent="0.25">
      <c r="A90" s="237" t="s">
        <v>600</v>
      </c>
      <c r="B90" s="245">
        <v>0</v>
      </c>
      <c r="C90" s="1122">
        <v>44729</v>
      </c>
      <c r="D90" s="1122">
        <v>45093</v>
      </c>
      <c r="E90" s="246">
        <v>9000000</v>
      </c>
      <c r="F90" s="247">
        <v>8754795</v>
      </c>
      <c r="G90" s="310"/>
      <c r="H90" s="1123">
        <f t="shared" si="1"/>
        <v>0</v>
      </c>
      <c r="I90" s="1108"/>
      <c r="J90" s="305"/>
      <c r="K90" s="208"/>
    </row>
    <row r="91" spans="1:11" s="209" customFormat="1" ht="30.75" customHeight="1" x14ac:dyDescent="0.25">
      <c r="A91" s="237" t="s">
        <v>601</v>
      </c>
      <c r="B91" s="245">
        <v>0</v>
      </c>
      <c r="C91" s="1122">
        <v>44757</v>
      </c>
      <c r="D91" s="1122">
        <v>45030</v>
      </c>
      <c r="E91" s="246">
        <v>9870859.4800000004</v>
      </c>
      <c r="F91" s="247">
        <v>9633958.8499999996</v>
      </c>
      <c r="G91" s="310"/>
      <c r="H91" s="1123">
        <f t="shared" si="1"/>
        <v>0</v>
      </c>
      <c r="I91" s="1108"/>
      <c r="J91" s="305"/>
      <c r="K91" s="208"/>
    </row>
    <row r="92" spans="1:11" s="209" customFormat="1" ht="30.75" customHeight="1" x14ac:dyDescent="0.25">
      <c r="A92" s="237" t="s">
        <v>602</v>
      </c>
      <c r="B92" s="245">
        <v>0</v>
      </c>
      <c r="C92" s="1122">
        <v>44785</v>
      </c>
      <c r="D92" s="1122">
        <v>45149</v>
      </c>
      <c r="E92" s="246">
        <v>11963647.310000001</v>
      </c>
      <c r="F92" s="247">
        <v>11576025.140000001</v>
      </c>
      <c r="G92" s="310"/>
      <c r="H92" s="1123">
        <f t="shared" si="1"/>
        <v>0</v>
      </c>
      <c r="I92" s="1108"/>
      <c r="J92" s="305"/>
      <c r="K92" s="208"/>
    </row>
    <row r="93" spans="1:11" s="209" customFormat="1" ht="29.25" customHeight="1" x14ac:dyDescent="0.25">
      <c r="A93" s="1137" t="s">
        <v>277</v>
      </c>
      <c r="B93" s="1117"/>
      <c r="C93" s="1138"/>
      <c r="D93" s="1138"/>
      <c r="E93" s="1139">
        <f>SUM(E94:E96)</f>
        <v>125462855.69</v>
      </c>
      <c r="F93" s="1119">
        <f>SUM(F94:F96)</f>
        <v>125462855.69</v>
      </c>
      <c r="G93" s="208"/>
      <c r="H93" s="1123"/>
      <c r="I93" s="1108"/>
      <c r="J93" s="305"/>
      <c r="K93" s="208"/>
    </row>
    <row r="94" spans="1:11" s="209" customFormat="1" ht="35.25" customHeight="1" x14ac:dyDescent="0.25">
      <c r="A94" s="1140" t="s">
        <v>160</v>
      </c>
      <c r="B94" s="245">
        <v>3</v>
      </c>
      <c r="C94" s="1122">
        <v>43712</v>
      </c>
      <c r="D94" s="1122">
        <v>47365</v>
      </c>
      <c r="E94" s="246">
        <v>43962855.689999998</v>
      </c>
      <c r="F94" s="246">
        <v>43962855.689999998</v>
      </c>
      <c r="G94" s="208"/>
      <c r="H94" s="305">
        <f t="shared" si="1"/>
        <v>1318885.67</v>
      </c>
      <c r="I94" s="1108">
        <v>0.03</v>
      </c>
      <c r="J94" s="305"/>
      <c r="K94" s="208"/>
    </row>
    <row r="95" spans="1:11" s="209" customFormat="1" ht="35.25" customHeight="1" x14ac:dyDescent="0.25">
      <c r="A95" s="1140" t="s">
        <v>278</v>
      </c>
      <c r="B95" s="245">
        <v>3.25</v>
      </c>
      <c r="C95" s="1122" t="s">
        <v>279</v>
      </c>
      <c r="D95" s="1122" t="s">
        <v>280</v>
      </c>
      <c r="E95" s="246">
        <v>20000000</v>
      </c>
      <c r="F95" s="246">
        <v>20000000</v>
      </c>
      <c r="G95" s="208"/>
      <c r="H95" s="1123">
        <f t="shared" si="1"/>
        <v>650000</v>
      </c>
      <c r="I95" s="1108"/>
      <c r="J95" s="305"/>
      <c r="K95" s="208"/>
    </row>
    <row r="96" spans="1:11" s="209" customFormat="1" ht="35.25" customHeight="1" x14ac:dyDescent="0.25">
      <c r="A96" s="1140" t="s">
        <v>281</v>
      </c>
      <c r="B96" s="245">
        <v>3.65</v>
      </c>
      <c r="C96" s="1122" t="s">
        <v>282</v>
      </c>
      <c r="D96" s="1122" t="s">
        <v>283</v>
      </c>
      <c r="E96" s="246">
        <v>61500000</v>
      </c>
      <c r="F96" s="246">
        <v>61500000</v>
      </c>
      <c r="G96" s="208"/>
      <c r="H96" s="1123">
        <f t="shared" si="1"/>
        <v>2244750</v>
      </c>
      <c r="I96" s="1108"/>
      <c r="J96" s="305"/>
      <c r="K96" s="208"/>
    </row>
    <row r="97" spans="1:11" s="209" customFormat="1" ht="35.25" customHeight="1" x14ac:dyDescent="0.25">
      <c r="A97" s="1137" t="s">
        <v>275</v>
      </c>
      <c r="B97" s="1114"/>
      <c r="C97" s="1118"/>
      <c r="D97" s="1118"/>
      <c r="E97" s="1119">
        <f>SUM(E98:E99)</f>
        <v>26407020</v>
      </c>
      <c r="F97" s="1119">
        <f>SUM(F98:F99)</f>
        <v>26407020</v>
      </c>
      <c r="G97" s="208"/>
      <c r="H97" s="305">
        <f>SUM(H95:H96)</f>
        <v>2894750</v>
      </c>
      <c r="I97" s="1108">
        <f>H97/SUM(F95+F96)</f>
        <v>3.5499999999999997E-2</v>
      </c>
      <c r="J97" s="305"/>
      <c r="K97" s="208"/>
    </row>
    <row r="98" spans="1:11" s="209" customFormat="1" ht="35.25" customHeight="1" x14ac:dyDescent="0.25">
      <c r="A98" s="1140" t="s">
        <v>276</v>
      </c>
      <c r="B98" s="1131">
        <v>3.85</v>
      </c>
      <c r="C98" s="1122">
        <v>43588</v>
      </c>
      <c r="D98" s="1122">
        <v>46145</v>
      </c>
      <c r="E98" s="246">
        <v>20640000</v>
      </c>
      <c r="F98" s="246">
        <v>20640000</v>
      </c>
      <c r="G98" s="208"/>
      <c r="H98" s="1123">
        <f t="shared" si="1"/>
        <v>794640</v>
      </c>
      <c r="I98" s="1108"/>
      <c r="J98" s="305"/>
      <c r="K98" s="208"/>
    </row>
    <row r="99" spans="1:11" s="209" customFormat="1" ht="35.25" customHeight="1" x14ac:dyDescent="0.25">
      <c r="A99" s="1140" t="s">
        <v>603</v>
      </c>
      <c r="B99" s="1131">
        <v>5.4</v>
      </c>
      <c r="C99" s="1122">
        <v>44756</v>
      </c>
      <c r="D99" s="1122">
        <v>48409</v>
      </c>
      <c r="E99" s="246">
        <v>5767020</v>
      </c>
      <c r="F99" s="246">
        <v>5767020</v>
      </c>
      <c r="G99" s="208"/>
      <c r="H99" s="1123">
        <f t="shared" si="1"/>
        <v>311419.08</v>
      </c>
      <c r="I99" s="1108"/>
      <c r="J99" s="305"/>
      <c r="K99" s="208"/>
    </row>
    <row r="100" spans="1:11" s="209" customFormat="1" ht="28.5" customHeight="1" x14ac:dyDescent="0.25">
      <c r="A100" s="1137" t="s">
        <v>604</v>
      </c>
      <c r="B100" s="1114"/>
      <c r="C100" s="1118"/>
      <c r="D100" s="1118"/>
      <c r="E100" s="1119">
        <f>SUM(E101)</f>
        <v>71882137.159999996</v>
      </c>
      <c r="F100" s="1119">
        <f>SUM(F101)</f>
        <v>71882137.159999996</v>
      </c>
      <c r="G100" s="208"/>
      <c r="H100" s="305">
        <f>SUM(H98:H99)</f>
        <v>1106059.08</v>
      </c>
      <c r="I100" s="1108">
        <f>H100/F97</f>
        <v>4.19E-2</v>
      </c>
      <c r="J100" s="305"/>
      <c r="K100" s="208"/>
    </row>
    <row r="101" spans="1:11" s="209" customFormat="1" ht="35.25" customHeight="1" x14ac:dyDescent="0.25">
      <c r="A101" s="1140" t="s">
        <v>605</v>
      </c>
      <c r="B101" s="1131">
        <v>3.81</v>
      </c>
      <c r="C101" s="1122">
        <v>44834</v>
      </c>
      <c r="D101" s="1122">
        <v>52139</v>
      </c>
      <c r="E101" s="246">
        <v>71882137.159999996</v>
      </c>
      <c r="F101" s="246">
        <v>71882137.159999996</v>
      </c>
      <c r="G101" s="208"/>
      <c r="H101" s="1123">
        <f t="shared" si="1"/>
        <v>2738709.43</v>
      </c>
      <c r="I101" s="1108"/>
      <c r="J101" s="305"/>
      <c r="K101" s="208"/>
    </row>
    <row r="102" spans="1:11" s="209" customFormat="1" ht="35.25" customHeight="1" x14ac:dyDescent="0.25">
      <c r="A102" s="1141" t="s">
        <v>284</v>
      </c>
      <c r="B102" s="1142"/>
      <c r="C102" s="1122"/>
      <c r="D102" s="1122"/>
      <c r="E102" s="1112">
        <f>E104+E122+E125+E167+E171+E157+E163+E177+E202+E209+E218+E192+E195+E211+E198+E224+E226</f>
        <v>2675982701.6500001</v>
      </c>
      <c r="F102" s="1112">
        <f>F104+F122+F125+F167+F171+F157+F163+F177+F202+F209+F218+F192+F195+F211+F198+F224+F226</f>
        <v>2719025249.0100002</v>
      </c>
      <c r="G102" s="208"/>
      <c r="H102" s="1123"/>
      <c r="I102" s="1108"/>
      <c r="J102" s="305" t="e">
        <f>F102-RESUMEN!#REF!</f>
        <v>#REF!</v>
      </c>
      <c r="K102" s="208"/>
    </row>
    <row r="103" spans="1:11" s="209" customFormat="1" ht="30.75" customHeight="1" x14ac:dyDescent="0.25">
      <c r="A103" s="1137" t="s">
        <v>588</v>
      </c>
      <c r="B103" s="1142"/>
      <c r="C103" s="1122"/>
      <c r="D103" s="1122"/>
      <c r="E103" s="1112">
        <f>SUM(E104+E122+E125+E157+E163+E167+E171)</f>
        <v>831690134.34000003</v>
      </c>
      <c r="F103" s="1112">
        <f>SUM(F104+F122+F125+F157+F163+F167+F171)</f>
        <v>860881665.82000005</v>
      </c>
      <c r="G103" s="208"/>
      <c r="H103" s="1123"/>
      <c r="I103" s="1108"/>
      <c r="J103" s="305"/>
      <c r="K103" s="208"/>
    </row>
    <row r="104" spans="1:11" s="209" customFormat="1" ht="28.5" customHeight="1" x14ac:dyDescent="0.25">
      <c r="A104" s="1143" t="s">
        <v>103</v>
      </c>
      <c r="B104" s="245"/>
      <c r="C104" s="1122"/>
      <c r="D104" s="1122"/>
      <c r="E104" s="1119">
        <f>SUM(E105:E121)</f>
        <v>43985397.630000003</v>
      </c>
      <c r="F104" s="1119">
        <f>SUM(F105:F121)</f>
        <v>42132572.450000003</v>
      </c>
      <c r="G104" s="307"/>
      <c r="H104" s="1123"/>
      <c r="I104" s="1108"/>
      <c r="J104" s="305"/>
      <c r="K104" s="208"/>
    </row>
    <row r="105" spans="1:11" s="209" customFormat="1" ht="30.75" customHeight="1" x14ac:dyDescent="0.25">
      <c r="A105" s="1124" t="s">
        <v>285</v>
      </c>
      <c r="B105" s="245">
        <v>7.125</v>
      </c>
      <c r="C105" s="1122">
        <v>39742</v>
      </c>
      <c r="D105" s="1122">
        <v>46051</v>
      </c>
      <c r="E105" s="246">
        <v>390211.13</v>
      </c>
      <c r="F105" s="247">
        <v>356067.65</v>
      </c>
      <c r="G105" s="310"/>
      <c r="H105" s="1123">
        <f t="shared" si="1"/>
        <v>27802.54</v>
      </c>
      <c r="I105" s="1108"/>
      <c r="J105" s="305"/>
      <c r="K105" s="310"/>
    </row>
    <row r="106" spans="1:11" s="209" customFormat="1" ht="30.75" customHeight="1" x14ac:dyDescent="0.25">
      <c r="A106" s="1124" t="s">
        <v>286</v>
      </c>
      <c r="B106" s="245">
        <v>7.125</v>
      </c>
      <c r="C106" s="1122">
        <v>39736</v>
      </c>
      <c r="D106" s="1122">
        <v>46051</v>
      </c>
      <c r="E106" s="246">
        <v>705725.7</v>
      </c>
      <c r="F106" s="247">
        <v>670439.41</v>
      </c>
      <c r="G106" s="310"/>
      <c r="H106" s="1123">
        <f t="shared" si="1"/>
        <v>50282.96</v>
      </c>
      <c r="I106" s="1108"/>
      <c r="J106" s="305"/>
      <c r="K106" s="310"/>
    </row>
    <row r="107" spans="1:11" s="209" customFormat="1" ht="30.75" customHeight="1" x14ac:dyDescent="0.25">
      <c r="A107" s="1124" t="s">
        <v>287</v>
      </c>
      <c r="B107" s="245">
        <v>7.125</v>
      </c>
      <c r="C107" s="1122">
        <v>39742</v>
      </c>
      <c r="D107" s="1122">
        <v>46051</v>
      </c>
      <c r="E107" s="246">
        <v>2867817.06</v>
      </c>
      <c r="F107" s="247">
        <v>2616883.0699999998</v>
      </c>
      <c r="G107" s="310"/>
      <c r="H107" s="1123">
        <f t="shared" si="1"/>
        <v>204331.97</v>
      </c>
      <c r="I107" s="1108"/>
      <c r="J107" s="305"/>
      <c r="K107" s="310"/>
    </row>
    <row r="108" spans="1:11" s="209" customFormat="1" ht="30.75" customHeight="1" x14ac:dyDescent="0.25">
      <c r="A108" s="1124" t="s">
        <v>288</v>
      </c>
      <c r="B108" s="245">
        <v>7.125</v>
      </c>
      <c r="C108" s="1122">
        <v>39736</v>
      </c>
      <c r="D108" s="1122">
        <v>46051</v>
      </c>
      <c r="E108" s="246">
        <v>2854423.98</v>
      </c>
      <c r="F108" s="247">
        <v>2711702.78</v>
      </c>
      <c r="G108" s="310"/>
      <c r="H108" s="1123">
        <f t="shared" si="1"/>
        <v>203377.71</v>
      </c>
      <c r="I108" s="1108"/>
      <c r="J108" s="305"/>
      <c r="K108" s="310"/>
    </row>
    <row r="109" spans="1:11" s="209" customFormat="1" ht="30.75" customHeight="1" x14ac:dyDescent="0.25">
      <c r="A109" s="1124" t="s">
        <v>289</v>
      </c>
      <c r="B109" s="245">
        <v>7.125</v>
      </c>
      <c r="C109" s="1122">
        <v>39743</v>
      </c>
      <c r="D109" s="1122">
        <v>46051</v>
      </c>
      <c r="E109" s="246">
        <v>2098593.77</v>
      </c>
      <c r="F109" s="247">
        <v>1909720.33</v>
      </c>
      <c r="G109" s="310"/>
      <c r="H109" s="1123">
        <f t="shared" si="1"/>
        <v>149524.81</v>
      </c>
      <c r="I109" s="1108"/>
      <c r="J109" s="305"/>
      <c r="K109" s="310"/>
    </row>
    <row r="110" spans="1:11" s="209" customFormat="1" ht="30.75" customHeight="1" x14ac:dyDescent="0.25">
      <c r="A110" s="1124" t="s">
        <v>290</v>
      </c>
      <c r="B110" s="245">
        <v>7.125</v>
      </c>
      <c r="C110" s="1122">
        <v>39841</v>
      </c>
      <c r="D110" s="1122">
        <v>46051</v>
      </c>
      <c r="E110" s="246">
        <v>2043876.55</v>
      </c>
      <c r="F110" s="247">
        <v>1972340.88</v>
      </c>
      <c r="G110" s="310"/>
      <c r="H110" s="1123">
        <f t="shared" si="1"/>
        <v>145626.20000000001</v>
      </c>
      <c r="I110" s="1108"/>
      <c r="J110" s="305"/>
      <c r="K110" s="310"/>
    </row>
    <row r="111" spans="1:11" s="209" customFormat="1" ht="30.75" customHeight="1" x14ac:dyDescent="0.25">
      <c r="A111" s="1124" t="s">
        <v>291</v>
      </c>
      <c r="B111" s="245">
        <v>7.125</v>
      </c>
      <c r="C111" s="1122">
        <v>39841</v>
      </c>
      <c r="D111" s="1122">
        <v>46051</v>
      </c>
      <c r="E111" s="246">
        <v>5376914.7699999996</v>
      </c>
      <c r="F111" s="247">
        <v>5188722.75</v>
      </c>
      <c r="G111" s="310"/>
      <c r="H111" s="1123">
        <f t="shared" si="1"/>
        <v>383105.18</v>
      </c>
      <c r="I111" s="1108"/>
      <c r="J111" s="305"/>
      <c r="K111" s="310"/>
    </row>
    <row r="112" spans="1:11" s="209" customFormat="1" ht="30.75" customHeight="1" x14ac:dyDescent="0.25">
      <c r="A112" s="1124" t="s">
        <v>292</v>
      </c>
      <c r="B112" s="245">
        <v>7.125</v>
      </c>
      <c r="C112" s="1122">
        <v>39841</v>
      </c>
      <c r="D112" s="1122">
        <v>46051</v>
      </c>
      <c r="E112" s="246">
        <v>323378.52</v>
      </c>
      <c r="F112" s="247">
        <v>312060.27</v>
      </c>
      <c r="G112" s="310"/>
      <c r="H112" s="1123">
        <f t="shared" si="1"/>
        <v>23040.720000000001</v>
      </c>
      <c r="I112" s="1108"/>
      <c r="J112" s="305"/>
      <c r="K112" s="310"/>
    </row>
    <row r="113" spans="1:11" s="209" customFormat="1" ht="30.75" customHeight="1" x14ac:dyDescent="0.25">
      <c r="A113" s="1124" t="s">
        <v>293</v>
      </c>
      <c r="B113" s="245">
        <v>7.125</v>
      </c>
      <c r="C113" s="1122">
        <v>39853</v>
      </c>
      <c r="D113" s="1122">
        <v>46051</v>
      </c>
      <c r="E113" s="246">
        <v>1994432.88</v>
      </c>
      <c r="F113" s="247">
        <v>1934599.89</v>
      </c>
      <c r="G113" s="310"/>
      <c r="H113" s="1123">
        <f t="shared" si="1"/>
        <v>142103.34</v>
      </c>
      <c r="I113" s="1108"/>
      <c r="J113" s="305"/>
      <c r="K113" s="310"/>
    </row>
    <row r="114" spans="1:11" s="209" customFormat="1" ht="30.75" customHeight="1" x14ac:dyDescent="0.25">
      <c r="A114" s="237" t="s">
        <v>294</v>
      </c>
      <c r="B114" s="274">
        <v>7.125</v>
      </c>
      <c r="C114" s="1122">
        <v>39826</v>
      </c>
      <c r="D114" s="1122">
        <v>46051</v>
      </c>
      <c r="E114" s="246">
        <v>331700</v>
      </c>
      <c r="F114" s="247">
        <v>320090.5</v>
      </c>
      <c r="G114" s="310"/>
      <c r="H114" s="1123">
        <f t="shared" si="1"/>
        <v>23633.63</v>
      </c>
      <c r="I114" s="1108"/>
      <c r="J114" s="305"/>
      <c r="K114" s="310"/>
    </row>
    <row r="115" spans="1:11" s="209" customFormat="1" ht="30.75" customHeight="1" x14ac:dyDescent="0.25">
      <c r="A115" s="237" t="s">
        <v>295</v>
      </c>
      <c r="B115" s="274">
        <v>7.125</v>
      </c>
      <c r="C115" s="1122">
        <v>39829</v>
      </c>
      <c r="D115" s="1122">
        <v>46051</v>
      </c>
      <c r="E115" s="246">
        <v>5000000</v>
      </c>
      <c r="F115" s="247">
        <v>4862500</v>
      </c>
      <c r="G115" s="310"/>
      <c r="H115" s="1123">
        <f t="shared" si="1"/>
        <v>356250</v>
      </c>
      <c r="I115" s="1108"/>
      <c r="J115" s="305"/>
      <c r="K115" s="310"/>
    </row>
    <row r="116" spans="1:11" s="209" customFormat="1" ht="30.75" customHeight="1" x14ac:dyDescent="0.25">
      <c r="A116" s="237" t="s">
        <v>295</v>
      </c>
      <c r="B116" s="274">
        <v>7.125</v>
      </c>
      <c r="C116" s="1122">
        <v>39833</v>
      </c>
      <c r="D116" s="1122">
        <v>46051</v>
      </c>
      <c r="E116" s="246">
        <v>3500000</v>
      </c>
      <c r="F116" s="247">
        <v>3412500</v>
      </c>
      <c r="G116" s="310"/>
      <c r="H116" s="1123">
        <f t="shared" si="1"/>
        <v>249375</v>
      </c>
      <c r="I116" s="1108"/>
      <c r="J116" s="305"/>
      <c r="K116" s="310"/>
    </row>
    <row r="117" spans="1:11" s="209" customFormat="1" ht="30.75" customHeight="1" x14ac:dyDescent="0.25">
      <c r="A117" s="237" t="s">
        <v>106</v>
      </c>
      <c r="B117" s="274">
        <v>7.125</v>
      </c>
      <c r="C117" s="1122">
        <v>39742</v>
      </c>
      <c r="D117" s="1122">
        <v>46051</v>
      </c>
      <c r="E117" s="246">
        <v>54473.79</v>
      </c>
      <c r="F117" s="247">
        <v>49707.33</v>
      </c>
      <c r="G117" s="310"/>
      <c r="H117" s="1123">
        <f t="shared" si="1"/>
        <v>3881.26</v>
      </c>
      <c r="I117" s="1108"/>
      <c r="J117" s="305"/>
      <c r="K117" s="310"/>
    </row>
    <row r="118" spans="1:11" s="209" customFormat="1" ht="30.75" customHeight="1" x14ac:dyDescent="0.25">
      <c r="A118" s="237" t="s">
        <v>109</v>
      </c>
      <c r="B118" s="274">
        <v>7.125</v>
      </c>
      <c r="C118" s="1122">
        <v>39841</v>
      </c>
      <c r="D118" s="1122">
        <v>46051</v>
      </c>
      <c r="E118" s="246">
        <v>2809282.36</v>
      </c>
      <c r="F118" s="247">
        <v>2710957.48</v>
      </c>
      <c r="G118" s="310"/>
      <c r="H118" s="1123">
        <f t="shared" si="1"/>
        <v>200161.37</v>
      </c>
      <c r="I118" s="1108"/>
      <c r="J118" s="305"/>
      <c r="K118" s="310"/>
    </row>
    <row r="119" spans="1:11" s="209" customFormat="1" ht="30.75" customHeight="1" x14ac:dyDescent="0.25">
      <c r="A119" s="237" t="s">
        <v>296</v>
      </c>
      <c r="B119" s="274">
        <v>7.125</v>
      </c>
      <c r="C119" s="1122">
        <v>39853</v>
      </c>
      <c r="D119" s="1122">
        <v>46051</v>
      </c>
      <c r="E119" s="246">
        <v>5634567.1200000001</v>
      </c>
      <c r="F119" s="247">
        <v>5465530.1100000003</v>
      </c>
      <c r="G119" s="310"/>
      <c r="H119" s="1123">
        <f t="shared" si="1"/>
        <v>401462.91</v>
      </c>
      <c r="I119" s="1108"/>
      <c r="J119" s="305"/>
      <c r="K119" s="310"/>
    </row>
    <row r="120" spans="1:11" s="209" customFormat="1" ht="30.75" customHeight="1" x14ac:dyDescent="0.25">
      <c r="A120" s="237" t="s">
        <v>297</v>
      </c>
      <c r="B120" s="274">
        <v>7.125</v>
      </c>
      <c r="C120" s="1122">
        <v>39882</v>
      </c>
      <c r="D120" s="1122">
        <v>46051</v>
      </c>
      <c r="E120" s="246">
        <v>2500000</v>
      </c>
      <c r="F120" s="247">
        <v>2400000</v>
      </c>
      <c r="G120" s="310"/>
      <c r="H120" s="1123">
        <f t="shared" si="1"/>
        <v>178125</v>
      </c>
      <c r="I120" s="1108"/>
      <c r="J120" s="305"/>
      <c r="K120" s="310"/>
    </row>
    <row r="121" spans="1:11" s="209" customFormat="1" ht="30.75" customHeight="1" x14ac:dyDescent="0.25">
      <c r="A121" s="237" t="s">
        <v>298</v>
      </c>
      <c r="B121" s="274">
        <v>7.125</v>
      </c>
      <c r="C121" s="1122">
        <v>39883</v>
      </c>
      <c r="D121" s="1122">
        <v>46051</v>
      </c>
      <c r="E121" s="246">
        <v>5500000</v>
      </c>
      <c r="F121" s="247">
        <v>5238750</v>
      </c>
      <c r="G121" s="310"/>
      <c r="H121" s="1123">
        <f t="shared" si="1"/>
        <v>391875</v>
      </c>
      <c r="I121" s="1108"/>
      <c r="J121" s="305"/>
      <c r="K121" s="310"/>
    </row>
    <row r="122" spans="1:11" s="209" customFormat="1" ht="28.5" customHeight="1" x14ac:dyDescent="0.25">
      <c r="A122" s="1143" t="s">
        <v>299</v>
      </c>
      <c r="B122" s="245"/>
      <c r="C122" s="1122"/>
      <c r="D122" s="1122"/>
      <c r="E122" s="1119">
        <f>SUM(E123:E124)</f>
        <v>59992251.719999999</v>
      </c>
      <c r="F122" s="1119">
        <f>SUM(F123:F124)</f>
        <v>59888709.649999999</v>
      </c>
      <c r="G122" s="310"/>
      <c r="H122" s="1123"/>
      <c r="I122" s="1108"/>
      <c r="J122" s="305"/>
      <c r="K122" s="310"/>
    </row>
    <row r="123" spans="1:11" s="209" customFormat="1" ht="32.25" customHeight="1" x14ac:dyDescent="0.25">
      <c r="A123" s="1124" t="s">
        <v>300</v>
      </c>
      <c r="B123" s="1144">
        <v>2.2519999999999998</v>
      </c>
      <c r="C123" s="1122" t="s">
        <v>301</v>
      </c>
      <c r="D123" s="1122">
        <v>48486</v>
      </c>
      <c r="E123" s="246">
        <v>49992251.719999999</v>
      </c>
      <c r="F123" s="247">
        <v>50263709.649999999</v>
      </c>
      <c r="G123" s="310"/>
      <c r="H123" s="1123">
        <f t="shared" si="1"/>
        <v>1125825.51</v>
      </c>
      <c r="I123" s="1108"/>
      <c r="J123" s="305"/>
      <c r="K123" s="310"/>
    </row>
    <row r="124" spans="1:11" s="209" customFormat="1" ht="32.25" customHeight="1" x14ac:dyDescent="0.25">
      <c r="A124" s="1124" t="s">
        <v>302</v>
      </c>
      <c r="B124" s="245">
        <v>2.25</v>
      </c>
      <c r="C124" s="1122">
        <v>44322</v>
      </c>
      <c r="D124" s="1122">
        <v>48486</v>
      </c>
      <c r="E124" s="246">
        <v>10000000</v>
      </c>
      <c r="F124" s="247">
        <v>9625000</v>
      </c>
      <c r="G124" s="310"/>
      <c r="H124" s="1123">
        <f t="shared" si="1"/>
        <v>225000</v>
      </c>
      <c r="I124" s="1108"/>
      <c r="J124" s="305"/>
      <c r="K124" s="208"/>
    </row>
    <row r="125" spans="1:11" s="209" customFormat="1" ht="28.5" customHeight="1" x14ac:dyDescent="0.25">
      <c r="A125" s="1143" t="s">
        <v>110</v>
      </c>
      <c r="B125" s="245"/>
      <c r="C125" s="1122"/>
      <c r="D125" s="1122"/>
      <c r="E125" s="1119">
        <f>SUM(E126:E156)</f>
        <v>170598615.47</v>
      </c>
      <c r="F125" s="1119">
        <f>SUM(F126:F156)</f>
        <v>173633936.81</v>
      </c>
      <c r="G125" s="310"/>
      <c r="H125" s="1123"/>
      <c r="I125" s="1108"/>
      <c r="J125" s="305"/>
      <c r="K125" s="310"/>
    </row>
    <row r="126" spans="1:11" s="209" customFormat="1" ht="30" customHeight="1" x14ac:dyDescent="0.25">
      <c r="A126" s="1124" t="s">
        <v>303</v>
      </c>
      <c r="B126" s="245">
        <v>6.7</v>
      </c>
      <c r="C126" s="1122">
        <v>39636</v>
      </c>
      <c r="D126" s="1122">
        <v>49700</v>
      </c>
      <c r="E126" s="246">
        <f>3011474.59+488525.41</f>
        <v>3500000</v>
      </c>
      <c r="F126" s="247">
        <f>3064175.39+497074.61</f>
        <v>3561250</v>
      </c>
      <c r="G126" s="312"/>
      <c r="H126" s="1123">
        <f t="shared" si="1"/>
        <v>234500</v>
      </c>
      <c r="I126" s="1108"/>
      <c r="J126" s="305"/>
      <c r="K126" s="208"/>
    </row>
    <row r="127" spans="1:11" s="209" customFormat="1" ht="30" customHeight="1" x14ac:dyDescent="0.25">
      <c r="A127" s="1124" t="s">
        <v>304</v>
      </c>
      <c r="B127" s="245">
        <v>6.7</v>
      </c>
      <c r="C127" s="1122">
        <v>39645</v>
      </c>
      <c r="D127" s="1122">
        <v>49700</v>
      </c>
      <c r="E127" s="246">
        <f>6022949.17+977050.83</f>
        <v>7000000</v>
      </c>
      <c r="F127" s="247">
        <f>6135879.47+995370.53</f>
        <v>7131250</v>
      </c>
      <c r="G127" s="312"/>
      <c r="H127" s="1123">
        <f t="shared" si="1"/>
        <v>469000</v>
      </c>
      <c r="I127" s="1108"/>
      <c r="J127" s="305"/>
      <c r="K127" s="208"/>
    </row>
    <row r="128" spans="1:11" s="209" customFormat="1" ht="30" customHeight="1" x14ac:dyDescent="0.25">
      <c r="A128" s="1124" t="s">
        <v>305</v>
      </c>
      <c r="B128" s="245">
        <v>6.7</v>
      </c>
      <c r="C128" s="1122">
        <v>40218</v>
      </c>
      <c r="D128" s="1122">
        <v>49700</v>
      </c>
      <c r="E128" s="246">
        <f>388660.89+97510.12</f>
        <v>486171.01</v>
      </c>
      <c r="F128" s="247">
        <f>396434.11+99460.32</f>
        <v>495894.43</v>
      </c>
      <c r="G128" s="312"/>
      <c r="H128" s="1123">
        <f t="shared" si="1"/>
        <v>32573.46</v>
      </c>
      <c r="I128" s="1108"/>
      <c r="J128" s="305"/>
      <c r="K128" s="208"/>
    </row>
    <row r="129" spans="1:11" s="209" customFormat="1" ht="30" customHeight="1" x14ac:dyDescent="0.25">
      <c r="A129" s="1124" t="s">
        <v>306</v>
      </c>
      <c r="B129" s="245">
        <v>6.7</v>
      </c>
      <c r="C129" s="1122">
        <v>39714</v>
      </c>
      <c r="D129" s="1122">
        <v>49700</v>
      </c>
      <c r="E129" s="246">
        <f>807677.43+92322.57</f>
        <v>900000</v>
      </c>
      <c r="F129" s="247">
        <f>801619.85+91630.15</f>
        <v>893250</v>
      </c>
      <c r="G129" s="312"/>
      <c r="H129" s="1123">
        <f t="shared" si="1"/>
        <v>60300</v>
      </c>
      <c r="I129" s="1108"/>
      <c r="J129" s="305"/>
      <c r="K129" s="208"/>
    </row>
    <row r="130" spans="1:11" s="209" customFormat="1" ht="30" customHeight="1" x14ac:dyDescent="0.25">
      <c r="A130" s="1124" t="s">
        <v>307</v>
      </c>
      <c r="B130" s="245">
        <v>6.7</v>
      </c>
      <c r="C130" s="1122">
        <v>40218</v>
      </c>
      <c r="D130" s="1122">
        <v>49700</v>
      </c>
      <c r="E130" s="246">
        <f>317634.86+32137.75</f>
        <v>349772.61</v>
      </c>
      <c r="F130" s="247">
        <f>323987.56+32780.5</f>
        <v>356768.06</v>
      </c>
      <c r="G130" s="312"/>
      <c r="H130" s="1123">
        <f t="shared" si="1"/>
        <v>23434.76</v>
      </c>
      <c r="I130" s="1108"/>
      <c r="J130" s="305"/>
      <c r="K130" s="208"/>
    </row>
    <row r="131" spans="1:11" s="209" customFormat="1" ht="30" customHeight="1" x14ac:dyDescent="0.25">
      <c r="A131" s="1124" t="s">
        <v>308</v>
      </c>
      <c r="B131" s="245">
        <v>6.7</v>
      </c>
      <c r="C131" s="1122">
        <v>39841</v>
      </c>
      <c r="D131" s="1122">
        <v>49700</v>
      </c>
      <c r="E131" s="246">
        <f>1734682.2+227173.26</f>
        <v>1961855.46</v>
      </c>
      <c r="F131" s="247">
        <f>1587234.22+207863.53</f>
        <v>1795097.75</v>
      </c>
      <c r="G131" s="312"/>
      <c r="H131" s="1123">
        <f t="shared" si="1"/>
        <v>131444.32</v>
      </c>
      <c r="I131" s="1108"/>
      <c r="J131" s="305"/>
      <c r="K131" s="208"/>
    </row>
    <row r="132" spans="1:11" s="209" customFormat="1" ht="30" customHeight="1" x14ac:dyDescent="0.25">
      <c r="A132" s="1124" t="s">
        <v>309</v>
      </c>
      <c r="B132" s="245">
        <v>6.7</v>
      </c>
      <c r="C132" s="1122">
        <v>39911</v>
      </c>
      <c r="D132" s="1122">
        <v>49700</v>
      </c>
      <c r="E132" s="246">
        <f>3598139.54+404907.99</f>
        <v>4003047.53</v>
      </c>
      <c r="F132" s="247">
        <f>3211339.54+361380.38</f>
        <v>3572719.92</v>
      </c>
      <c r="G132" s="312"/>
      <c r="H132" s="1123">
        <f t="shared" si="1"/>
        <v>268204.18</v>
      </c>
      <c r="I132" s="1108"/>
      <c r="J132" s="305"/>
      <c r="K132" s="208"/>
    </row>
    <row r="133" spans="1:11" s="209" customFormat="1" ht="30" customHeight="1" x14ac:dyDescent="0.25">
      <c r="A133" s="1124" t="s">
        <v>153</v>
      </c>
      <c r="B133" s="245">
        <v>6.7</v>
      </c>
      <c r="C133" s="1122">
        <v>39976</v>
      </c>
      <c r="D133" s="1122">
        <v>49700</v>
      </c>
      <c r="E133" s="246">
        <f>1471187.91+228824.91</f>
        <v>1700012.82</v>
      </c>
      <c r="F133" s="247">
        <f>1463831.97+227680.79</f>
        <v>1691512.76</v>
      </c>
      <c r="G133" s="312"/>
      <c r="H133" s="1123">
        <f t="shared" si="1"/>
        <v>113900.86</v>
      </c>
      <c r="I133" s="1108"/>
      <c r="J133" s="305"/>
      <c r="K133" s="208"/>
    </row>
    <row r="134" spans="1:11" s="209" customFormat="1" ht="30" customHeight="1" x14ac:dyDescent="0.25">
      <c r="A134" s="1124" t="s">
        <v>310</v>
      </c>
      <c r="B134" s="245">
        <v>6.7</v>
      </c>
      <c r="C134" s="1122">
        <v>39979</v>
      </c>
      <c r="D134" s="1122">
        <v>49700</v>
      </c>
      <c r="E134" s="246">
        <v>1494830.53</v>
      </c>
      <c r="F134" s="247">
        <v>1491093.45</v>
      </c>
      <c r="G134" s="312"/>
      <c r="H134" s="1123">
        <f t="shared" si="1"/>
        <v>100153.65</v>
      </c>
      <c r="I134" s="1108"/>
      <c r="J134" s="305"/>
      <c r="K134" s="208"/>
    </row>
    <row r="135" spans="1:11" s="209" customFormat="1" ht="30" customHeight="1" x14ac:dyDescent="0.25">
      <c r="A135" s="1124" t="s">
        <v>311</v>
      </c>
      <c r="B135" s="245">
        <v>6.7</v>
      </c>
      <c r="C135" s="1122">
        <v>40056</v>
      </c>
      <c r="D135" s="1122">
        <v>49700</v>
      </c>
      <c r="E135" s="246">
        <f>2931000+429000</f>
        <v>3360000</v>
      </c>
      <c r="F135" s="247">
        <f>3011602.5+440797.5</f>
        <v>3452400</v>
      </c>
      <c r="G135" s="312"/>
      <c r="H135" s="1123">
        <f t="shared" si="1"/>
        <v>225120</v>
      </c>
      <c r="I135" s="1108"/>
      <c r="J135" s="305"/>
      <c r="K135" s="208"/>
    </row>
    <row r="136" spans="1:11" s="209" customFormat="1" ht="30" customHeight="1" x14ac:dyDescent="0.25">
      <c r="A136" s="1124" t="s">
        <v>312</v>
      </c>
      <c r="B136" s="245">
        <v>6.7</v>
      </c>
      <c r="C136" s="1122">
        <v>40218</v>
      </c>
      <c r="D136" s="1122">
        <v>49700</v>
      </c>
      <c r="E136" s="246">
        <f>2411000+586900</f>
        <v>2997900</v>
      </c>
      <c r="F136" s="247">
        <f>2459220+598638</f>
        <v>3057858</v>
      </c>
      <c r="G136" s="312"/>
      <c r="H136" s="1123">
        <f t="shared" si="1"/>
        <v>200859.3</v>
      </c>
      <c r="I136" s="1108"/>
      <c r="J136" s="305"/>
      <c r="K136" s="208"/>
    </row>
    <row r="137" spans="1:11" s="209" customFormat="1" ht="30" customHeight="1" x14ac:dyDescent="0.25">
      <c r="A137" s="1124" t="s">
        <v>313</v>
      </c>
      <c r="B137" s="245">
        <v>6.7</v>
      </c>
      <c r="C137" s="1122">
        <v>40218</v>
      </c>
      <c r="D137" s="1122">
        <v>49700</v>
      </c>
      <c r="E137" s="246">
        <f>4900000+565500</f>
        <v>5465500</v>
      </c>
      <c r="F137" s="247">
        <f>5007800+577941</f>
        <v>5585741</v>
      </c>
      <c r="G137" s="312"/>
      <c r="H137" s="1123">
        <f t="shared" si="1"/>
        <v>366188.5</v>
      </c>
      <c r="I137" s="1108"/>
      <c r="J137" s="305"/>
      <c r="K137" s="208"/>
    </row>
    <row r="138" spans="1:11" s="209" customFormat="1" ht="30" customHeight="1" x14ac:dyDescent="0.25">
      <c r="A138" s="1124" t="s">
        <v>314</v>
      </c>
      <c r="B138" s="245">
        <v>6.7</v>
      </c>
      <c r="C138" s="1122">
        <v>40238</v>
      </c>
      <c r="D138" s="1122">
        <v>49700</v>
      </c>
      <c r="E138" s="246">
        <v>1251000</v>
      </c>
      <c r="F138" s="247">
        <v>1322932.5</v>
      </c>
      <c r="G138" s="312"/>
      <c r="H138" s="1123">
        <f t="shared" si="1"/>
        <v>83817</v>
      </c>
      <c r="I138" s="1108"/>
      <c r="J138" s="305"/>
      <c r="K138" s="208"/>
    </row>
    <row r="139" spans="1:11" s="209" customFormat="1" ht="30" customHeight="1" x14ac:dyDescent="0.25">
      <c r="A139" s="1124" t="s">
        <v>315</v>
      </c>
      <c r="B139" s="245">
        <v>6.7</v>
      </c>
      <c r="C139" s="1122">
        <v>40238</v>
      </c>
      <c r="D139" s="1122">
        <v>49700</v>
      </c>
      <c r="E139" s="246">
        <v>1000000</v>
      </c>
      <c r="F139" s="247">
        <v>1058000</v>
      </c>
      <c r="G139" s="312"/>
      <c r="H139" s="1123">
        <f t="shared" si="1"/>
        <v>67000</v>
      </c>
      <c r="I139" s="1108"/>
      <c r="J139" s="305"/>
      <c r="K139" s="208"/>
    </row>
    <row r="140" spans="1:11" s="209" customFormat="1" ht="30" customHeight="1" x14ac:dyDescent="0.25">
      <c r="A140" s="1124" t="s">
        <v>316</v>
      </c>
      <c r="B140" s="245">
        <v>6.7</v>
      </c>
      <c r="C140" s="1122">
        <v>40238</v>
      </c>
      <c r="D140" s="1122">
        <v>49700</v>
      </c>
      <c r="E140" s="246">
        <v>2000000</v>
      </c>
      <c r="F140" s="247">
        <v>2117500</v>
      </c>
      <c r="G140" s="312"/>
      <c r="H140" s="1123">
        <f t="shared" si="1"/>
        <v>134000</v>
      </c>
      <c r="I140" s="1108"/>
      <c r="J140" s="305"/>
      <c r="K140" s="208"/>
    </row>
    <row r="141" spans="1:11" s="209" customFormat="1" ht="30" customHeight="1" x14ac:dyDescent="0.25">
      <c r="A141" s="1124" t="s">
        <v>317</v>
      </c>
      <c r="B141" s="245">
        <v>6.7</v>
      </c>
      <c r="C141" s="1122">
        <v>41457</v>
      </c>
      <c r="D141" s="1122">
        <v>49700</v>
      </c>
      <c r="E141" s="246">
        <v>1500000</v>
      </c>
      <c r="F141" s="247">
        <v>1753125</v>
      </c>
      <c r="G141" s="312"/>
      <c r="H141" s="1123">
        <f t="shared" si="1"/>
        <v>100500</v>
      </c>
      <c r="I141" s="1108"/>
      <c r="J141" s="305"/>
      <c r="K141" s="208"/>
    </row>
    <row r="142" spans="1:11" s="209" customFormat="1" ht="30" customHeight="1" x14ac:dyDescent="0.25">
      <c r="A142" s="1124" t="s">
        <v>111</v>
      </c>
      <c r="B142" s="245">
        <v>6.7</v>
      </c>
      <c r="C142" s="1122">
        <v>39636</v>
      </c>
      <c r="D142" s="1122">
        <v>49700</v>
      </c>
      <c r="E142" s="246">
        <v>1288948.06</v>
      </c>
      <c r="F142" s="247">
        <v>1311504.6499999999</v>
      </c>
      <c r="G142" s="312"/>
      <c r="H142" s="1123">
        <f t="shared" ref="H142:H205" si="2">E142*B142/100</f>
        <v>86359.52</v>
      </c>
      <c r="I142" s="1108"/>
      <c r="J142" s="305"/>
      <c r="K142" s="208"/>
    </row>
    <row r="143" spans="1:11" s="209" customFormat="1" ht="30" customHeight="1" x14ac:dyDescent="0.25">
      <c r="A143" s="1124" t="s">
        <v>318</v>
      </c>
      <c r="B143" s="245">
        <v>6.7</v>
      </c>
      <c r="C143" s="1122">
        <v>39826</v>
      </c>
      <c r="D143" s="1122">
        <v>49700</v>
      </c>
      <c r="E143" s="246">
        <v>8000000</v>
      </c>
      <c r="F143" s="247">
        <v>7540000</v>
      </c>
      <c r="G143" s="312"/>
      <c r="H143" s="1123">
        <f t="shared" si="2"/>
        <v>536000</v>
      </c>
      <c r="I143" s="1108"/>
      <c r="J143" s="305"/>
      <c r="K143" s="208"/>
    </row>
    <row r="144" spans="1:11" s="209" customFormat="1" ht="30" customHeight="1" x14ac:dyDescent="0.25">
      <c r="A144" s="1124" t="s">
        <v>113</v>
      </c>
      <c r="B144" s="245">
        <v>6.7</v>
      </c>
      <c r="C144" s="1122">
        <v>39833</v>
      </c>
      <c r="D144" s="1122">
        <v>49700</v>
      </c>
      <c r="E144" s="246">
        <v>4000000</v>
      </c>
      <c r="F144" s="247">
        <v>3700000</v>
      </c>
      <c r="G144" s="312"/>
      <c r="H144" s="1123">
        <f t="shared" si="2"/>
        <v>268000</v>
      </c>
      <c r="I144" s="1108"/>
      <c r="J144" s="305"/>
      <c r="K144" s="208"/>
    </row>
    <row r="145" spans="1:11" s="209" customFormat="1" ht="30" customHeight="1" x14ac:dyDescent="0.25">
      <c r="A145" s="1124" t="s">
        <v>319</v>
      </c>
      <c r="B145" s="245">
        <v>6.7</v>
      </c>
      <c r="C145" s="1122">
        <v>39884</v>
      </c>
      <c r="D145" s="1122">
        <v>49700</v>
      </c>
      <c r="E145" s="246">
        <v>3000000</v>
      </c>
      <c r="F145" s="247">
        <v>2610000</v>
      </c>
      <c r="G145" s="312"/>
      <c r="H145" s="1123">
        <f t="shared" si="2"/>
        <v>201000</v>
      </c>
      <c r="I145" s="1108"/>
      <c r="J145" s="305"/>
      <c r="K145" s="208"/>
    </row>
    <row r="146" spans="1:11" s="209" customFormat="1" ht="30" customHeight="1" x14ac:dyDescent="0.25">
      <c r="A146" s="1124" t="s">
        <v>320</v>
      </c>
      <c r="B146" s="245">
        <v>6.7</v>
      </c>
      <c r="C146" s="1122">
        <v>39911</v>
      </c>
      <c r="D146" s="1122">
        <v>49700</v>
      </c>
      <c r="E146" s="246">
        <v>1656279.24</v>
      </c>
      <c r="F146" s="247">
        <v>1478229.22</v>
      </c>
      <c r="G146" s="312"/>
      <c r="H146" s="1123">
        <f t="shared" si="2"/>
        <v>110970.71</v>
      </c>
      <c r="I146" s="1108"/>
      <c r="J146" s="305"/>
      <c r="K146" s="208"/>
    </row>
    <row r="147" spans="1:11" s="209" customFormat="1" ht="30" customHeight="1" x14ac:dyDescent="0.25">
      <c r="A147" s="1124" t="s">
        <v>321</v>
      </c>
      <c r="B147" s="245">
        <v>6.7</v>
      </c>
      <c r="C147" s="1122">
        <v>39925</v>
      </c>
      <c r="D147" s="1122">
        <v>49700</v>
      </c>
      <c r="E147" s="246">
        <v>2000000</v>
      </c>
      <c r="F147" s="247">
        <v>1882500</v>
      </c>
      <c r="G147" s="312"/>
      <c r="H147" s="1123">
        <f t="shared" si="2"/>
        <v>134000</v>
      </c>
      <c r="I147" s="1108"/>
      <c r="J147" s="305"/>
      <c r="K147" s="208"/>
    </row>
    <row r="148" spans="1:11" s="209" customFormat="1" ht="30" customHeight="1" x14ac:dyDescent="0.25">
      <c r="A148" s="1124" t="s">
        <v>322</v>
      </c>
      <c r="B148" s="245">
        <v>6.7</v>
      </c>
      <c r="C148" s="1122">
        <v>39926</v>
      </c>
      <c r="D148" s="1122">
        <v>49700</v>
      </c>
      <c r="E148" s="246">
        <v>4235000</v>
      </c>
      <c r="F148" s="247">
        <v>3959725</v>
      </c>
      <c r="G148" s="312"/>
      <c r="H148" s="1123">
        <f t="shared" si="2"/>
        <v>283745</v>
      </c>
      <c r="I148" s="1108"/>
      <c r="J148" s="305"/>
      <c r="K148" s="208"/>
    </row>
    <row r="149" spans="1:11" s="209" customFormat="1" ht="30" customHeight="1" x14ac:dyDescent="0.25">
      <c r="A149" s="1124" t="s">
        <v>323</v>
      </c>
      <c r="B149" s="245">
        <v>6.7</v>
      </c>
      <c r="C149" s="1122">
        <v>39933</v>
      </c>
      <c r="D149" s="1122">
        <v>49700</v>
      </c>
      <c r="E149" s="246">
        <v>6500000</v>
      </c>
      <c r="F149" s="247">
        <v>6110000</v>
      </c>
      <c r="G149" s="312"/>
      <c r="H149" s="1123">
        <f t="shared" si="2"/>
        <v>435500</v>
      </c>
      <c r="I149" s="1108"/>
      <c r="J149" s="305"/>
      <c r="K149" s="208"/>
    </row>
    <row r="150" spans="1:11" s="209" customFormat="1" ht="30" customHeight="1" x14ac:dyDescent="0.25">
      <c r="A150" s="1124" t="s">
        <v>324</v>
      </c>
      <c r="B150" s="245">
        <v>6.7</v>
      </c>
      <c r="C150" s="1122">
        <v>39946</v>
      </c>
      <c r="D150" s="1122">
        <v>49700</v>
      </c>
      <c r="E150" s="246">
        <v>7500000</v>
      </c>
      <c r="F150" s="247">
        <v>7406250</v>
      </c>
      <c r="G150" s="312"/>
      <c r="H150" s="1123">
        <f t="shared" si="2"/>
        <v>502500</v>
      </c>
      <c r="I150" s="1108"/>
      <c r="J150" s="305"/>
      <c r="K150" s="208"/>
    </row>
    <row r="151" spans="1:11" s="209" customFormat="1" ht="30" customHeight="1" x14ac:dyDescent="0.25">
      <c r="A151" s="1124" t="s">
        <v>325</v>
      </c>
      <c r="B151" s="245">
        <v>6.7</v>
      </c>
      <c r="C151" s="1122">
        <v>39976</v>
      </c>
      <c r="D151" s="1122">
        <v>49700</v>
      </c>
      <c r="E151" s="246">
        <v>414611.9</v>
      </c>
      <c r="F151" s="247">
        <v>412538.84</v>
      </c>
      <c r="G151" s="312"/>
      <c r="H151" s="1123">
        <f t="shared" si="2"/>
        <v>27779</v>
      </c>
      <c r="I151" s="1108"/>
      <c r="J151" s="305"/>
      <c r="K151" s="208"/>
    </row>
    <row r="152" spans="1:11" s="209" customFormat="1" ht="30" customHeight="1" x14ac:dyDescent="0.25">
      <c r="A152" s="1124" t="s">
        <v>238</v>
      </c>
      <c r="B152" s="245">
        <v>6.7</v>
      </c>
      <c r="C152" s="1122">
        <v>39979</v>
      </c>
      <c r="D152" s="1122">
        <v>49700</v>
      </c>
      <c r="E152" s="246">
        <v>1005169.47</v>
      </c>
      <c r="F152" s="247">
        <v>1002656.55</v>
      </c>
      <c r="G152" s="312"/>
      <c r="H152" s="1123">
        <f t="shared" si="2"/>
        <v>67346.350000000006</v>
      </c>
      <c r="I152" s="1108"/>
      <c r="J152" s="305"/>
      <c r="K152" s="208"/>
    </row>
    <row r="153" spans="1:11" s="209" customFormat="1" ht="30" customHeight="1" x14ac:dyDescent="0.25">
      <c r="A153" s="1124" t="s">
        <v>153</v>
      </c>
      <c r="B153" s="245">
        <v>6.7</v>
      </c>
      <c r="C153" s="1122">
        <v>39983</v>
      </c>
      <c r="D153" s="1122">
        <v>49700</v>
      </c>
      <c r="E153" s="246">
        <v>1500000</v>
      </c>
      <c r="F153" s="247">
        <v>1496250</v>
      </c>
      <c r="G153" s="312"/>
      <c r="H153" s="1123">
        <f t="shared" si="2"/>
        <v>100500</v>
      </c>
      <c r="I153" s="1108"/>
      <c r="J153" s="305"/>
      <c r="K153" s="208"/>
    </row>
    <row r="154" spans="1:11" s="209" customFormat="1" ht="30" customHeight="1" x14ac:dyDescent="0.25">
      <c r="A154" s="1124" t="s">
        <v>154</v>
      </c>
      <c r="B154" s="245">
        <v>6.7</v>
      </c>
      <c r="C154" s="1122">
        <v>40056</v>
      </c>
      <c r="D154" s="1122">
        <v>49700</v>
      </c>
      <c r="E154" s="246">
        <v>507000</v>
      </c>
      <c r="F154" s="247">
        <v>520942.5</v>
      </c>
      <c r="G154" s="312"/>
      <c r="H154" s="1123">
        <f t="shared" si="2"/>
        <v>33969</v>
      </c>
      <c r="I154" s="1108"/>
      <c r="J154" s="305"/>
      <c r="K154" s="208"/>
    </row>
    <row r="155" spans="1:11" s="209" customFormat="1" ht="30" customHeight="1" x14ac:dyDescent="0.25">
      <c r="A155" s="1124" t="s">
        <v>326</v>
      </c>
      <c r="B155" s="245">
        <v>6.7</v>
      </c>
      <c r="C155" s="1122">
        <v>40217</v>
      </c>
      <c r="D155" s="1122">
        <v>49700</v>
      </c>
      <c r="E155" s="246">
        <v>3021516.84</v>
      </c>
      <c r="F155" s="247">
        <v>3081947.18</v>
      </c>
      <c r="G155" s="312"/>
      <c r="H155" s="1123">
        <f t="shared" si="2"/>
        <v>202441.63</v>
      </c>
      <c r="I155" s="1108"/>
      <c r="J155" s="305"/>
      <c r="K155" s="208"/>
    </row>
    <row r="156" spans="1:11" s="209" customFormat="1" ht="30" customHeight="1" x14ac:dyDescent="0.25">
      <c r="A156" s="1124" t="s">
        <v>327</v>
      </c>
      <c r="B156" s="245">
        <v>6.7</v>
      </c>
      <c r="C156" s="1122">
        <v>40269</v>
      </c>
      <c r="D156" s="1122">
        <v>49700</v>
      </c>
      <c r="E156" s="246">
        <v>87000000</v>
      </c>
      <c r="F156" s="247">
        <v>91785000</v>
      </c>
      <c r="G156" s="312"/>
      <c r="H156" s="1123">
        <f t="shared" si="2"/>
        <v>5829000</v>
      </c>
      <c r="I156" s="1108"/>
      <c r="J156" s="305"/>
      <c r="K156" s="208"/>
    </row>
    <row r="157" spans="1:11" s="209" customFormat="1" ht="28.5" customHeight="1" x14ac:dyDescent="0.25">
      <c r="A157" s="1143" t="s">
        <v>328</v>
      </c>
      <c r="B157" s="1117"/>
      <c r="C157" s="1118"/>
      <c r="D157" s="1118"/>
      <c r="E157" s="1119">
        <f>SUM(E158:E162)</f>
        <v>180128309.37</v>
      </c>
      <c r="F157" s="1119">
        <f>SUM(F158:G162)</f>
        <v>177796867.50999999</v>
      </c>
      <c r="G157" s="312"/>
      <c r="H157" s="1123"/>
      <c r="I157" s="1108"/>
      <c r="J157" s="305"/>
      <c r="K157" s="208"/>
    </row>
    <row r="158" spans="1:11" s="209" customFormat="1" ht="30.75" customHeight="1" x14ac:dyDescent="0.25">
      <c r="A158" s="1124" t="s">
        <v>329</v>
      </c>
      <c r="B158" s="245">
        <v>4.5</v>
      </c>
      <c r="C158" s="1122">
        <v>42870</v>
      </c>
      <c r="D158" s="1122">
        <v>53827</v>
      </c>
      <c r="E158" s="247">
        <v>143239433.49000001</v>
      </c>
      <c r="F158" s="247">
        <v>142894226.44999999</v>
      </c>
      <c r="G158" s="312"/>
      <c r="H158" s="1123">
        <f t="shared" si="2"/>
        <v>6445774.5099999998</v>
      </c>
      <c r="I158" s="1108"/>
      <c r="J158" s="305"/>
      <c r="K158" s="208"/>
    </row>
    <row r="159" spans="1:11" s="209" customFormat="1" ht="30.75" customHeight="1" x14ac:dyDescent="0.25">
      <c r="A159" s="1124" t="s">
        <v>330</v>
      </c>
      <c r="B159" s="245">
        <v>4.5</v>
      </c>
      <c r="C159" s="1122">
        <v>42870</v>
      </c>
      <c r="D159" s="1122">
        <v>53827</v>
      </c>
      <c r="E159" s="246">
        <v>26294100.149999999</v>
      </c>
      <c r="F159" s="247">
        <v>26230731.370000001</v>
      </c>
      <c r="G159" s="312"/>
      <c r="H159" s="1123">
        <f t="shared" si="2"/>
        <v>1183234.51</v>
      </c>
      <c r="I159" s="1108"/>
      <c r="J159" s="305"/>
      <c r="K159" s="208"/>
    </row>
    <row r="160" spans="1:11" s="209" customFormat="1" ht="30.75" customHeight="1" x14ac:dyDescent="0.25">
      <c r="A160" s="1124" t="s">
        <v>251</v>
      </c>
      <c r="B160" s="245">
        <v>4.5</v>
      </c>
      <c r="C160" s="1122">
        <v>43370</v>
      </c>
      <c r="D160" s="1122">
        <v>53827</v>
      </c>
      <c r="E160" s="246">
        <v>594775.73</v>
      </c>
      <c r="F160" s="247">
        <v>590909.68999999994</v>
      </c>
      <c r="G160" s="312"/>
      <c r="H160" s="1123">
        <f t="shared" si="2"/>
        <v>26764.91</v>
      </c>
      <c r="I160" s="1108"/>
      <c r="J160" s="305"/>
      <c r="K160" s="208"/>
    </row>
    <row r="161" spans="1:11" s="209" customFormat="1" ht="30.75" customHeight="1" x14ac:dyDescent="0.25">
      <c r="A161" s="1124" t="s">
        <v>606</v>
      </c>
      <c r="B161" s="245">
        <v>4.5</v>
      </c>
      <c r="C161" s="1122">
        <v>44810</v>
      </c>
      <c r="D161" s="1122">
        <v>53827</v>
      </c>
      <c r="E161" s="246">
        <v>5000000</v>
      </c>
      <c r="F161" s="1209">
        <v>4062500</v>
      </c>
      <c r="G161" s="312"/>
      <c r="H161" s="1123">
        <f t="shared" si="2"/>
        <v>225000</v>
      </c>
      <c r="I161" s="1108"/>
      <c r="J161" s="305"/>
      <c r="K161" s="208"/>
    </row>
    <row r="162" spans="1:11" s="209" customFormat="1" ht="30.75" customHeight="1" x14ac:dyDescent="0.25">
      <c r="A162" s="1124" t="s">
        <v>607</v>
      </c>
      <c r="B162" s="245">
        <v>4.5</v>
      </c>
      <c r="C162" s="1122">
        <v>44811</v>
      </c>
      <c r="D162" s="1122">
        <v>53827</v>
      </c>
      <c r="E162" s="246">
        <v>5000000</v>
      </c>
      <c r="F162" s="1209">
        <v>4018500</v>
      </c>
      <c r="G162" s="312"/>
      <c r="H162" s="1123">
        <f t="shared" si="2"/>
        <v>225000</v>
      </c>
      <c r="I162" s="1108"/>
      <c r="J162" s="305"/>
      <c r="K162" s="208"/>
    </row>
    <row r="163" spans="1:11" s="209" customFormat="1" ht="28.5" customHeight="1" x14ac:dyDescent="0.25">
      <c r="A163" s="1125" t="s">
        <v>171</v>
      </c>
      <c r="B163" s="1117"/>
      <c r="C163" s="1126"/>
      <c r="D163" s="1126"/>
      <c r="E163" s="1119">
        <f>SUM(E164:E166)</f>
        <v>68420313.409999996</v>
      </c>
      <c r="F163" s="1119">
        <f>SUM(F164:F166)</f>
        <v>66378671.859999999</v>
      </c>
      <c r="G163" s="312"/>
      <c r="H163" s="1123"/>
      <c r="I163" s="1108"/>
      <c r="J163" s="305"/>
      <c r="K163" s="208"/>
    </row>
    <row r="164" spans="1:11" s="209" customFormat="1" ht="30" customHeight="1" x14ac:dyDescent="0.25">
      <c r="A164" s="237" t="s">
        <v>172</v>
      </c>
      <c r="B164" s="245">
        <v>4.5</v>
      </c>
      <c r="C164" s="1122">
        <v>43206</v>
      </c>
      <c r="D164" s="1122">
        <v>54894</v>
      </c>
      <c r="E164" s="246">
        <v>51420313.409999996</v>
      </c>
      <c r="F164" s="246">
        <v>51198691.859999999</v>
      </c>
      <c r="G164" s="312"/>
      <c r="H164" s="1123">
        <f t="shared" si="2"/>
        <v>2313914.1</v>
      </c>
      <c r="I164" s="1108"/>
      <c r="J164" s="305"/>
      <c r="K164" s="208"/>
    </row>
    <row r="165" spans="1:11" s="209" customFormat="1" ht="30" customHeight="1" x14ac:dyDescent="0.25">
      <c r="A165" s="237" t="s">
        <v>331</v>
      </c>
      <c r="B165" s="245">
        <v>4.5</v>
      </c>
      <c r="C165" s="1122">
        <v>43398</v>
      </c>
      <c r="D165" s="1122">
        <v>54894</v>
      </c>
      <c r="E165" s="246">
        <v>12000000</v>
      </c>
      <c r="F165" s="246">
        <v>11217480</v>
      </c>
      <c r="G165" s="312"/>
      <c r="H165" s="1123">
        <f t="shared" si="2"/>
        <v>540000</v>
      </c>
      <c r="I165" s="1108"/>
      <c r="J165" s="305"/>
      <c r="K165" s="208"/>
    </row>
    <row r="166" spans="1:11" s="209" customFormat="1" ht="30" customHeight="1" x14ac:dyDescent="0.25">
      <c r="A166" s="237" t="s">
        <v>608</v>
      </c>
      <c r="B166" s="245">
        <v>4.5</v>
      </c>
      <c r="C166" s="1122">
        <v>44811</v>
      </c>
      <c r="D166" s="1122">
        <v>54894</v>
      </c>
      <c r="E166" s="246">
        <v>5000000</v>
      </c>
      <c r="F166" s="1210">
        <f>4050625-88125</f>
        <v>3962500</v>
      </c>
      <c r="G166" s="312"/>
      <c r="H166" s="1123">
        <f t="shared" si="2"/>
        <v>225000</v>
      </c>
      <c r="I166" s="1108"/>
      <c r="J166" s="305"/>
      <c r="K166" s="208"/>
    </row>
    <row r="167" spans="1:11" s="209" customFormat="1" ht="28.5" customHeight="1" x14ac:dyDescent="0.25">
      <c r="A167" s="1143" t="s">
        <v>119</v>
      </c>
      <c r="B167" s="1117"/>
      <c r="C167" s="1118"/>
      <c r="D167" s="1118"/>
      <c r="E167" s="1119">
        <f>SUM(E168:E170)</f>
        <v>149185392.27000001</v>
      </c>
      <c r="F167" s="1119">
        <f>SUM(F168:F170)</f>
        <v>168053671.27000001</v>
      </c>
      <c r="G167" s="312"/>
      <c r="H167" s="1123"/>
      <c r="I167" s="1108"/>
      <c r="J167" s="305"/>
      <c r="K167" s="208"/>
    </row>
    <row r="168" spans="1:11" s="209" customFormat="1" ht="30.75" customHeight="1" x14ac:dyDescent="0.25">
      <c r="A168" s="1124" t="s">
        <v>332</v>
      </c>
      <c r="B168" s="245">
        <v>4.3</v>
      </c>
      <c r="C168" s="1122">
        <v>41484</v>
      </c>
      <c r="D168" s="1122">
        <v>56003</v>
      </c>
      <c r="E168" s="246">
        <v>1000000</v>
      </c>
      <c r="F168" s="247">
        <v>845000</v>
      </c>
      <c r="G168" s="312"/>
      <c r="H168" s="1123">
        <f t="shared" si="2"/>
        <v>43000</v>
      </c>
      <c r="I168" s="1108"/>
      <c r="J168" s="305"/>
      <c r="K168" s="208"/>
    </row>
    <row r="169" spans="1:11" s="209" customFormat="1" ht="30.75" customHeight="1" x14ac:dyDescent="0.25">
      <c r="A169" s="1124" t="s">
        <v>333</v>
      </c>
      <c r="B169" s="245">
        <v>4.3</v>
      </c>
      <c r="C169" s="1122">
        <v>41492</v>
      </c>
      <c r="D169" s="1122">
        <v>56003</v>
      </c>
      <c r="E169" s="246">
        <v>2000000</v>
      </c>
      <c r="F169" s="247">
        <v>1630000</v>
      </c>
      <c r="G169" s="312"/>
      <c r="H169" s="1123">
        <f t="shared" si="2"/>
        <v>86000</v>
      </c>
      <c r="I169" s="1108"/>
      <c r="J169" s="305"/>
      <c r="K169" s="208"/>
    </row>
    <row r="170" spans="1:11" s="209" customFormat="1" ht="30.75" customHeight="1" x14ac:dyDescent="0.25">
      <c r="A170" s="1124" t="s">
        <v>120</v>
      </c>
      <c r="B170" s="245">
        <v>4.3</v>
      </c>
      <c r="C170" s="1122">
        <v>43795</v>
      </c>
      <c r="D170" s="1122">
        <v>56003</v>
      </c>
      <c r="E170" s="246">
        <v>146185392.27000001</v>
      </c>
      <c r="F170" s="247">
        <v>165578671.27000001</v>
      </c>
      <c r="G170" s="312"/>
      <c r="H170" s="1123">
        <f t="shared" si="2"/>
        <v>6285971.8700000001</v>
      </c>
      <c r="I170" s="1108"/>
      <c r="J170" s="305"/>
      <c r="K170" s="208"/>
    </row>
    <row r="171" spans="1:11" s="209" customFormat="1" ht="28.5" customHeight="1" x14ac:dyDescent="0.25">
      <c r="A171" s="1116" t="s">
        <v>256</v>
      </c>
      <c r="B171" s="1117"/>
      <c r="C171" s="1118"/>
      <c r="D171" s="1118"/>
      <c r="E171" s="1119">
        <f>SUM(E172:E175)</f>
        <v>159379854.47</v>
      </c>
      <c r="F171" s="1119">
        <f>SUM(F172:F175)</f>
        <v>172997236.27000001</v>
      </c>
      <c r="G171" s="312"/>
      <c r="H171" s="1123"/>
      <c r="I171" s="1108"/>
      <c r="J171" s="305"/>
      <c r="K171" s="208"/>
    </row>
    <row r="172" spans="1:11" s="209" customFormat="1" ht="30" customHeight="1" x14ac:dyDescent="0.25">
      <c r="A172" s="1124" t="s">
        <v>257</v>
      </c>
      <c r="B172" s="245">
        <v>3.87</v>
      </c>
      <c r="C172" s="1122">
        <v>44223</v>
      </c>
      <c r="D172" s="1122">
        <v>58645</v>
      </c>
      <c r="E172" s="246">
        <v>129979854.47</v>
      </c>
      <c r="F172" s="247">
        <v>143486061.15000001</v>
      </c>
      <c r="G172" s="312"/>
      <c r="H172" s="1123">
        <f t="shared" si="2"/>
        <v>5030220.37</v>
      </c>
      <c r="I172" s="1108"/>
      <c r="J172" s="305"/>
      <c r="K172" s="208"/>
    </row>
    <row r="173" spans="1:11" s="209" customFormat="1" ht="30" customHeight="1" x14ac:dyDescent="0.25">
      <c r="A173" s="1124" t="s">
        <v>334</v>
      </c>
      <c r="B173" s="245">
        <v>3.87</v>
      </c>
      <c r="C173" s="1122">
        <v>44322</v>
      </c>
      <c r="D173" s="1122">
        <v>58645</v>
      </c>
      <c r="E173" s="246">
        <v>9800000</v>
      </c>
      <c r="F173" s="247">
        <v>9838655.1199999992</v>
      </c>
      <c r="G173" s="312"/>
      <c r="H173" s="1123">
        <f t="shared" si="2"/>
        <v>379260</v>
      </c>
      <c r="I173" s="1108"/>
      <c r="J173" s="305"/>
      <c r="K173" s="208"/>
    </row>
    <row r="174" spans="1:11" s="209" customFormat="1" ht="30" customHeight="1" x14ac:dyDescent="0.25">
      <c r="A174" s="1124" t="s">
        <v>335</v>
      </c>
      <c r="B174" s="245">
        <v>3.87</v>
      </c>
      <c r="C174" s="1122">
        <v>44323</v>
      </c>
      <c r="D174" s="1122">
        <v>58645</v>
      </c>
      <c r="E174" s="246">
        <v>9800000</v>
      </c>
      <c r="F174" s="247">
        <v>9834300</v>
      </c>
      <c r="G174" s="312"/>
      <c r="H174" s="1123">
        <f t="shared" si="2"/>
        <v>379260</v>
      </c>
      <c r="I174" s="1108"/>
      <c r="J174" s="305"/>
      <c r="K174" s="208"/>
    </row>
    <row r="175" spans="1:11" s="209" customFormat="1" ht="30" customHeight="1" x14ac:dyDescent="0.25">
      <c r="A175" s="1124" t="s">
        <v>336</v>
      </c>
      <c r="B175" s="245">
        <v>3.87</v>
      </c>
      <c r="C175" s="1122">
        <v>44333</v>
      </c>
      <c r="D175" s="1122">
        <v>58645</v>
      </c>
      <c r="E175" s="246">
        <v>9800000</v>
      </c>
      <c r="F175" s="247">
        <v>9838220</v>
      </c>
      <c r="G175" s="312"/>
      <c r="H175" s="1123">
        <f t="shared" si="2"/>
        <v>379260</v>
      </c>
      <c r="I175" s="1108"/>
      <c r="J175" s="305"/>
      <c r="K175" s="208"/>
    </row>
    <row r="176" spans="1:11" s="209" customFormat="1" ht="28.5" customHeight="1" x14ac:dyDescent="0.25">
      <c r="A176" s="1137" t="s">
        <v>157</v>
      </c>
      <c r="B176" s="245"/>
      <c r="C176" s="1122"/>
      <c r="D176" s="1122"/>
      <c r="E176" s="1128">
        <f>SUM(E177+E192+E195+E198)</f>
        <v>1001170414.9400001</v>
      </c>
      <c r="F176" s="1128">
        <f>SUM(F177+F192+F195+F198)</f>
        <v>1019261789.78</v>
      </c>
      <c r="G176" s="312"/>
      <c r="H176" s="305">
        <f>SUM(H105:H175)</f>
        <v>39682552.619999997</v>
      </c>
      <c r="I176" s="1108">
        <f>H176/F103</f>
        <v>4.6100000000000002E-2</v>
      </c>
      <c r="J176" s="305">
        <f>F171+F167+F163+F157+F125+F122+F104</f>
        <v>860881665.82000005</v>
      </c>
      <c r="K176" s="208" t="s">
        <v>609</v>
      </c>
    </row>
    <row r="177" spans="1:11" s="209" customFormat="1" ht="28.5" customHeight="1" x14ac:dyDescent="0.25">
      <c r="A177" s="1143" t="s">
        <v>124</v>
      </c>
      <c r="B177" s="1117"/>
      <c r="C177" s="1118"/>
      <c r="D177" s="1118"/>
      <c r="E177" s="1129">
        <f>SUM(E178:E191)</f>
        <v>267718334.19</v>
      </c>
      <c r="F177" s="1129">
        <f>SUM(F178:F191)</f>
        <v>285820759.02999997</v>
      </c>
      <c r="G177" s="310"/>
      <c r="H177" s="1123"/>
      <c r="I177" s="1108"/>
      <c r="J177" s="305"/>
      <c r="K177" s="208"/>
    </row>
    <row r="178" spans="1:11" s="209" customFormat="1" ht="30" customHeight="1" x14ac:dyDescent="0.25">
      <c r="A178" s="1124" t="s">
        <v>345</v>
      </c>
      <c r="B178" s="245">
        <v>5.63</v>
      </c>
      <c r="C178" s="1122">
        <v>41603</v>
      </c>
      <c r="D178" s="1122">
        <v>45437</v>
      </c>
      <c r="E178" s="247">
        <v>3907000</v>
      </c>
      <c r="F178" s="247">
        <v>3828860</v>
      </c>
      <c r="G178" s="310"/>
      <c r="H178" s="1123">
        <f t="shared" si="2"/>
        <v>219964.1</v>
      </c>
      <c r="I178" s="1108"/>
      <c r="J178" s="305"/>
      <c r="K178" s="208"/>
    </row>
    <row r="179" spans="1:11" s="209" customFormat="1" ht="30" customHeight="1" x14ac:dyDescent="0.25">
      <c r="A179" s="1124" t="s">
        <v>346</v>
      </c>
      <c r="B179" s="245">
        <v>4.95</v>
      </c>
      <c r="C179" s="1122">
        <v>41603</v>
      </c>
      <c r="D179" s="1122">
        <v>45436</v>
      </c>
      <c r="E179" s="247">
        <v>4000000</v>
      </c>
      <c r="F179" s="247">
        <v>3994000</v>
      </c>
      <c r="G179" s="310"/>
      <c r="H179" s="1123">
        <f t="shared" si="2"/>
        <v>198000</v>
      </c>
      <c r="I179" s="1108"/>
      <c r="J179" s="305"/>
      <c r="K179" s="208"/>
    </row>
    <row r="180" spans="1:11" s="209" customFormat="1" ht="30" customHeight="1" x14ac:dyDescent="0.25">
      <c r="A180" s="1124" t="s">
        <v>186</v>
      </c>
      <c r="B180" s="245">
        <v>4.95</v>
      </c>
      <c r="C180" s="1122">
        <v>42545</v>
      </c>
      <c r="D180" s="1122">
        <v>45436</v>
      </c>
      <c r="E180" s="246">
        <v>8070145.5</v>
      </c>
      <c r="F180" s="247">
        <v>8570494.5199999996</v>
      </c>
      <c r="G180" s="310"/>
      <c r="H180" s="1123">
        <f t="shared" si="2"/>
        <v>399472.2</v>
      </c>
      <c r="I180" s="1108"/>
      <c r="J180" s="305"/>
      <c r="K180" s="208"/>
    </row>
    <row r="181" spans="1:11" s="209" customFormat="1" ht="30" customHeight="1" x14ac:dyDescent="0.25">
      <c r="A181" s="1124" t="s">
        <v>187</v>
      </c>
      <c r="B181" s="245">
        <v>4.95</v>
      </c>
      <c r="C181" s="1122">
        <v>42545</v>
      </c>
      <c r="D181" s="1122">
        <v>45436</v>
      </c>
      <c r="E181" s="246">
        <v>14322000</v>
      </c>
      <c r="F181" s="247">
        <v>15195642</v>
      </c>
      <c r="G181" s="310"/>
      <c r="H181" s="1123">
        <f t="shared" si="2"/>
        <v>708939</v>
      </c>
      <c r="I181" s="1108"/>
      <c r="J181" s="305"/>
      <c r="K181" s="208"/>
    </row>
    <row r="182" spans="1:11" s="209" customFormat="1" ht="30" customHeight="1" x14ac:dyDescent="0.25">
      <c r="A182" s="1124" t="s">
        <v>188</v>
      </c>
      <c r="B182" s="245">
        <v>4.95</v>
      </c>
      <c r="C182" s="1122">
        <v>42545</v>
      </c>
      <c r="D182" s="1122">
        <v>45436</v>
      </c>
      <c r="E182" s="246">
        <v>8000000</v>
      </c>
      <c r="F182" s="247">
        <v>8516000</v>
      </c>
      <c r="G182" s="310"/>
      <c r="H182" s="1123">
        <f t="shared" si="2"/>
        <v>396000</v>
      </c>
      <c r="I182" s="1108"/>
      <c r="J182" s="305"/>
      <c r="K182" s="208"/>
    </row>
    <row r="183" spans="1:11" s="209" customFormat="1" ht="30" customHeight="1" x14ac:dyDescent="0.25">
      <c r="A183" s="1124" t="s">
        <v>189</v>
      </c>
      <c r="B183" s="245">
        <v>4.95</v>
      </c>
      <c r="C183" s="1122">
        <v>42545</v>
      </c>
      <c r="D183" s="1122">
        <v>45436</v>
      </c>
      <c r="E183" s="246">
        <v>17000000</v>
      </c>
      <c r="F183" s="247">
        <v>18071000</v>
      </c>
      <c r="G183" s="310"/>
      <c r="H183" s="1123">
        <f t="shared" si="2"/>
        <v>841500</v>
      </c>
      <c r="I183" s="1108"/>
      <c r="J183" s="305"/>
      <c r="K183" s="208"/>
    </row>
    <row r="184" spans="1:11" s="209" customFormat="1" ht="30" customHeight="1" x14ac:dyDescent="0.25">
      <c r="A184" s="1124" t="s">
        <v>190</v>
      </c>
      <c r="B184" s="245">
        <v>4.95</v>
      </c>
      <c r="C184" s="1122">
        <v>42545</v>
      </c>
      <c r="D184" s="1122">
        <v>45436</v>
      </c>
      <c r="E184" s="246">
        <v>16000000</v>
      </c>
      <c r="F184" s="247">
        <v>16992000</v>
      </c>
      <c r="G184" s="310"/>
      <c r="H184" s="1123">
        <f t="shared" si="2"/>
        <v>792000</v>
      </c>
      <c r="I184" s="1108"/>
      <c r="J184" s="305"/>
      <c r="K184" s="208"/>
    </row>
    <row r="185" spans="1:11" s="209" customFormat="1" ht="30" customHeight="1" x14ac:dyDescent="0.25">
      <c r="A185" s="1124" t="s">
        <v>191</v>
      </c>
      <c r="B185" s="245">
        <v>4.95</v>
      </c>
      <c r="C185" s="1122">
        <v>42545</v>
      </c>
      <c r="D185" s="1122">
        <v>45436</v>
      </c>
      <c r="E185" s="246">
        <v>15217000</v>
      </c>
      <c r="F185" s="247">
        <v>16145237</v>
      </c>
      <c r="G185" s="310"/>
      <c r="H185" s="1123">
        <f t="shared" si="2"/>
        <v>753241.5</v>
      </c>
      <c r="I185" s="1108"/>
      <c r="J185" s="305"/>
      <c r="K185" s="208"/>
    </row>
    <row r="186" spans="1:11" s="209" customFormat="1" ht="30" customHeight="1" x14ac:dyDescent="0.25">
      <c r="A186" s="1124" t="s">
        <v>347</v>
      </c>
      <c r="B186" s="245">
        <v>4.95</v>
      </c>
      <c r="C186" s="1122">
        <v>42573</v>
      </c>
      <c r="D186" s="1122">
        <v>45436</v>
      </c>
      <c r="E186" s="246">
        <v>60291252.960000001</v>
      </c>
      <c r="F186" s="247">
        <v>64993970.700000003</v>
      </c>
      <c r="G186" s="310"/>
      <c r="H186" s="1123">
        <f t="shared" si="2"/>
        <v>2984417.02</v>
      </c>
      <c r="I186" s="1108"/>
      <c r="J186" s="305"/>
      <c r="K186" s="208"/>
    </row>
    <row r="187" spans="1:11" s="209" customFormat="1" ht="30" customHeight="1" x14ac:dyDescent="0.25">
      <c r="A187" s="1124" t="s">
        <v>348</v>
      </c>
      <c r="B187" s="245">
        <v>4.95</v>
      </c>
      <c r="C187" s="1122">
        <v>42657</v>
      </c>
      <c r="D187" s="1122">
        <v>45436</v>
      </c>
      <c r="E187" s="246">
        <v>12434667.18</v>
      </c>
      <c r="F187" s="247">
        <v>13668186.16</v>
      </c>
      <c r="G187" s="310"/>
      <c r="H187" s="1123">
        <f t="shared" si="2"/>
        <v>615516.03</v>
      </c>
      <c r="I187" s="1108"/>
      <c r="J187" s="305"/>
      <c r="K187" s="208"/>
    </row>
    <row r="188" spans="1:11" s="209" customFormat="1" ht="30" customHeight="1" x14ac:dyDescent="0.25">
      <c r="A188" s="1124" t="s">
        <v>349</v>
      </c>
      <c r="B188" s="245">
        <v>4.95</v>
      </c>
      <c r="C188" s="1122">
        <v>42811</v>
      </c>
      <c r="D188" s="1122">
        <v>45436</v>
      </c>
      <c r="E188" s="246">
        <v>11638036.58</v>
      </c>
      <c r="F188" s="247">
        <v>12603993.619999999</v>
      </c>
      <c r="G188" s="310"/>
      <c r="H188" s="1123">
        <f t="shared" si="2"/>
        <v>576082.81000000006</v>
      </c>
      <c r="I188" s="1108"/>
      <c r="J188" s="305"/>
      <c r="K188" s="208"/>
    </row>
    <row r="189" spans="1:11" s="209" customFormat="1" ht="30" customHeight="1" x14ac:dyDescent="0.25">
      <c r="A189" s="1124" t="s">
        <v>266</v>
      </c>
      <c r="B189" s="245">
        <v>4.95</v>
      </c>
      <c r="C189" s="1122" t="s">
        <v>267</v>
      </c>
      <c r="D189" s="1122">
        <v>45436</v>
      </c>
      <c r="E189" s="246">
        <v>5662470.5599999996</v>
      </c>
      <c r="F189" s="247">
        <v>6183387.6500000004</v>
      </c>
      <c r="G189" s="310"/>
      <c r="H189" s="1123">
        <f t="shared" si="2"/>
        <v>280292.28999999998</v>
      </c>
      <c r="I189" s="1108"/>
      <c r="J189" s="305"/>
      <c r="K189" s="208"/>
    </row>
    <row r="190" spans="1:11" s="209" customFormat="1" ht="30" customHeight="1" x14ac:dyDescent="0.25">
      <c r="A190" s="1124" t="s">
        <v>126</v>
      </c>
      <c r="B190" s="245">
        <v>4.95</v>
      </c>
      <c r="C190" s="1122">
        <v>43385</v>
      </c>
      <c r="D190" s="1122">
        <v>45436</v>
      </c>
      <c r="E190" s="246">
        <v>81164674.409999996</v>
      </c>
      <c r="F190" s="247">
        <v>86278048.900000006</v>
      </c>
      <c r="G190" s="310"/>
      <c r="H190" s="1123">
        <f t="shared" si="2"/>
        <v>4017651.38</v>
      </c>
      <c r="I190" s="1108"/>
      <c r="J190" s="305"/>
      <c r="K190" s="208"/>
    </row>
    <row r="191" spans="1:11" s="209" customFormat="1" ht="30" customHeight="1" x14ac:dyDescent="0.25">
      <c r="A191" s="1124" t="s">
        <v>268</v>
      </c>
      <c r="B191" s="245">
        <v>4.95</v>
      </c>
      <c r="C191" s="1122">
        <v>43630</v>
      </c>
      <c r="D191" s="1122">
        <v>45436</v>
      </c>
      <c r="E191" s="246">
        <v>10011087</v>
      </c>
      <c r="F191" s="247">
        <v>10779938.48</v>
      </c>
      <c r="G191" s="310"/>
      <c r="H191" s="1123">
        <f t="shared" si="2"/>
        <v>495548.81</v>
      </c>
      <c r="I191" s="1108"/>
      <c r="J191" s="305"/>
      <c r="K191" s="208"/>
    </row>
    <row r="192" spans="1:11" s="209" customFormat="1" ht="27.75" customHeight="1" x14ac:dyDescent="0.25">
      <c r="A192" s="1125" t="s">
        <v>269</v>
      </c>
      <c r="B192" s="1130"/>
      <c r="C192" s="1118"/>
      <c r="D192" s="1118"/>
      <c r="E192" s="1119">
        <f>SUM(E193:E194)</f>
        <v>333173120.75</v>
      </c>
      <c r="F192" s="1119">
        <f>SUM(F193:F194)</f>
        <v>333173120.75</v>
      </c>
      <c r="G192" s="310"/>
      <c r="H192" s="1123"/>
      <c r="I192" s="1108"/>
      <c r="J192" s="305"/>
      <c r="K192" s="208"/>
    </row>
    <row r="193" spans="1:11" s="209" customFormat="1" ht="35.25" customHeight="1" x14ac:dyDescent="0.25">
      <c r="A193" s="237" t="s">
        <v>350</v>
      </c>
      <c r="B193" s="1131">
        <v>3</v>
      </c>
      <c r="C193" s="1122">
        <v>43826</v>
      </c>
      <c r="D193" s="1122">
        <v>47479</v>
      </c>
      <c r="E193" s="246">
        <v>71985.11</v>
      </c>
      <c r="F193" s="246">
        <v>71985.11</v>
      </c>
      <c r="G193" s="310"/>
      <c r="H193" s="1123">
        <f t="shared" si="2"/>
        <v>2159.5500000000002</v>
      </c>
      <c r="I193" s="1108"/>
      <c r="J193" s="305"/>
      <c r="K193" s="208"/>
    </row>
    <row r="194" spans="1:11" s="209" customFormat="1" ht="44.25" customHeight="1" x14ac:dyDescent="0.25">
      <c r="A194" s="316" t="s">
        <v>351</v>
      </c>
      <c r="B194" s="1131">
        <v>3</v>
      </c>
      <c r="C194" s="1122">
        <v>44260</v>
      </c>
      <c r="D194" s="1122">
        <v>47479</v>
      </c>
      <c r="E194" s="246">
        <v>333101135.63999999</v>
      </c>
      <c r="F194" s="246">
        <v>333101135.63999999</v>
      </c>
      <c r="G194" s="310"/>
      <c r="H194" s="1123">
        <f t="shared" si="2"/>
        <v>9993034.0700000003</v>
      </c>
      <c r="I194" s="1108"/>
      <c r="J194" s="305"/>
      <c r="K194" s="208"/>
    </row>
    <row r="195" spans="1:11" s="209" customFormat="1" ht="28.5" customHeight="1" x14ac:dyDescent="0.25">
      <c r="A195" s="1125" t="s">
        <v>271</v>
      </c>
      <c r="B195" s="1130"/>
      <c r="C195" s="1118"/>
      <c r="D195" s="1118"/>
      <c r="E195" s="1119">
        <f>SUM(E196:E197)</f>
        <v>79300000</v>
      </c>
      <c r="F195" s="1119">
        <f>SUM(F196:F197)</f>
        <v>79288950</v>
      </c>
      <c r="G195" s="310"/>
      <c r="H195" s="1123"/>
      <c r="I195" s="1108"/>
      <c r="J195" s="305"/>
      <c r="K195" s="208"/>
    </row>
    <row r="196" spans="1:11" s="209" customFormat="1" ht="30" customHeight="1" x14ac:dyDescent="0.25">
      <c r="A196" s="237" t="s">
        <v>129</v>
      </c>
      <c r="B196" s="274">
        <v>3.3620000000000001</v>
      </c>
      <c r="C196" s="1122">
        <v>44377</v>
      </c>
      <c r="D196" s="1122">
        <v>48029</v>
      </c>
      <c r="E196" s="1132">
        <v>78000000</v>
      </c>
      <c r="F196" s="1132">
        <v>78000000</v>
      </c>
      <c r="G196" s="310"/>
      <c r="H196" s="1123">
        <f t="shared" si="2"/>
        <v>2622360</v>
      </c>
      <c r="I196" s="1108"/>
      <c r="J196" s="305"/>
      <c r="K196" s="208"/>
    </row>
    <row r="197" spans="1:11" s="209" customFormat="1" ht="30" customHeight="1" x14ac:dyDescent="0.25">
      <c r="A197" s="237" t="s">
        <v>352</v>
      </c>
      <c r="B197" s="274">
        <v>3.3620000000000001</v>
      </c>
      <c r="C197" s="1122">
        <v>44497</v>
      </c>
      <c r="D197" s="1122">
        <v>48029</v>
      </c>
      <c r="E197" s="1132">
        <v>1300000</v>
      </c>
      <c r="F197" s="1132">
        <v>1288950</v>
      </c>
      <c r="G197" s="310"/>
      <c r="H197" s="1123">
        <f t="shared" si="2"/>
        <v>43706</v>
      </c>
      <c r="I197" s="1108"/>
      <c r="J197" s="305"/>
      <c r="K197" s="208"/>
    </row>
    <row r="198" spans="1:11" s="209" customFormat="1" ht="28.5" customHeight="1" x14ac:dyDescent="0.25">
      <c r="A198" s="1125" t="s">
        <v>592</v>
      </c>
      <c r="B198" s="1130"/>
      <c r="C198" s="1118"/>
      <c r="D198" s="1118"/>
      <c r="E198" s="1119">
        <f>SUM(E199:E200)</f>
        <v>320978960</v>
      </c>
      <c r="F198" s="1119">
        <f>SUM(F199:F200)</f>
        <v>320978960</v>
      </c>
      <c r="G198" s="310"/>
      <c r="H198" s="1123"/>
      <c r="I198" s="1108"/>
      <c r="J198" s="305"/>
      <c r="K198" s="208"/>
    </row>
    <row r="199" spans="1:11" s="209" customFormat="1" ht="30" customHeight="1" x14ac:dyDescent="0.25">
      <c r="A199" s="237" t="s">
        <v>593</v>
      </c>
      <c r="B199" s="274">
        <v>5.2</v>
      </c>
      <c r="C199" s="1122">
        <v>44747</v>
      </c>
      <c r="D199" s="1122">
        <v>49130</v>
      </c>
      <c r="E199" s="1132">
        <v>319982520</v>
      </c>
      <c r="F199" s="1132">
        <v>319982520</v>
      </c>
      <c r="G199" s="310"/>
      <c r="H199" s="1123">
        <f t="shared" si="2"/>
        <v>16639091.039999999</v>
      </c>
      <c r="I199" s="1108"/>
      <c r="J199" s="305"/>
      <c r="K199" s="208"/>
    </row>
    <row r="200" spans="1:11" s="209" customFormat="1" ht="30" customHeight="1" x14ac:dyDescent="0.25">
      <c r="A200" s="237" t="s">
        <v>594</v>
      </c>
      <c r="B200" s="274">
        <v>5.2</v>
      </c>
      <c r="C200" s="1122">
        <v>44747</v>
      </c>
      <c r="D200" s="1122">
        <v>49130</v>
      </c>
      <c r="E200" s="1132">
        <v>996440</v>
      </c>
      <c r="F200" s="1132">
        <v>996440</v>
      </c>
      <c r="G200" s="310"/>
      <c r="H200" s="1123">
        <f t="shared" si="2"/>
        <v>51814.879999999997</v>
      </c>
      <c r="I200" s="1108"/>
      <c r="J200" s="305"/>
      <c r="K200" s="208"/>
    </row>
    <row r="201" spans="1:11" s="209" customFormat="1" ht="27.75" customHeight="1" x14ac:dyDescent="0.25">
      <c r="A201" s="1127" t="s">
        <v>595</v>
      </c>
      <c r="B201" s="274"/>
      <c r="C201" s="1122"/>
      <c r="D201" s="1122"/>
      <c r="E201" s="1133">
        <f>SUM(E202+E209)</f>
        <v>362162733.51999998</v>
      </c>
      <c r="F201" s="1133">
        <f>SUM(F202+F209)</f>
        <v>360028669.70999998</v>
      </c>
      <c r="G201" s="310"/>
      <c r="H201" s="305">
        <f>SUM(H178:H200)</f>
        <v>42630790.68</v>
      </c>
      <c r="I201" s="1108">
        <f>H201/F176</f>
        <v>4.1799999999999997E-2</v>
      </c>
      <c r="J201" s="305">
        <f>F176</f>
        <v>1019261789.78</v>
      </c>
      <c r="K201" s="208"/>
    </row>
    <row r="202" spans="1:11" s="209" customFormat="1" ht="28.5" customHeight="1" x14ac:dyDescent="0.25">
      <c r="A202" s="1125" t="s">
        <v>206</v>
      </c>
      <c r="B202" s="1136"/>
      <c r="C202" s="1126"/>
      <c r="D202" s="1126"/>
      <c r="E202" s="1119">
        <f>SUM(E203:E208)</f>
        <v>292545670.05000001</v>
      </c>
      <c r="F202" s="1119">
        <f>SUM(F203:F208)</f>
        <v>290518120.35000002</v>
      </c>
      <c r="G202" s="312"/>
      <c r="H202" s="1123"/>
      <c r="I202" s="1108"/>
      <c r="J202" s="305"/>
      <c r="K202" s="208"/>
    </row>
    <row r="203" spans="1:11" s="209" customFormat="1" ht="29.25" customHeight="1" x14ac:dyDescent="0.25">
      <c r="A203" s="237" t="s">
        <v>132</v>
      </c>
      <c r="B203" s="245">
        <v>3</v>
      </c>
      <c r="C203" s="1122">
        <v>43245</v>
      </c>
      <c r="D203" s="1122">
        <v>45198</v>
      </c>
      <c r="E203" s="246">
        <v>39042.04</v>
      </c>
      <c r="F203" s="247">
        <v>38753.129999999997</v>
      </c>
      <c r="G203" s="312"/>
      <c r="H203" s="1123">
        <f t="shared" si="2"/>
        <v>1171.26</v>
      </c>
      <c r="I203" s="1108"/>
      <c r="J203" s="305"/>
      <c r="K203" s="208"/>
    </row>
    <row r="204" spans="1:11" s="209" customFormat="1" ht="29.25" customHeight="1" x14ac:dyDescent="0.25">
      <c r="A204" s="237" t="s">
        <v>133</v>
      </c>
      <c r="B204" s="245">
        <v>3</v>
      </c>
      <c r="C204" s="1122">
        <v>43336</v>
      </c>
      <c r="D204" s="1122">
        <v>45198</v>
      </c>
      <c r="E204" s="246">
        <v>70696038.659999996</v>
      </c>
      <c r="F204" s="247">
        <f>E204*0.9895</f>
        <v>69953730.25</v>
      </c>
      <c r="G204" s="312"/>
      <c r="H204" s="1123">
        <f t="shared" si="2"/>
        <v>2120881.16</v>
      </c>
      <c r="I204" s="1108"/>
      <c r="J204" s="305"/>
      <c r="K204" s="208"/>
    </row>
    <row r="205" spans="1:11" s="209" customFormat="1" ht="29.25" customHeight="1" x14ac:dyDescent="0.25">
      <c r="A205" s="237" t="s">
        <v>272</v>
      </c>
      <c r="B205" s="245">
        <v>3</v>
      </c>
      <c r="C205" s="1122">
        <v>43364</v>
      </c>
      <c r="D205" s="1122">
        <v>45198</v>
      </c>
      <c r="E205" s="246">
        <v>25611862.829999998</v>
      </c>
      <c r="F205" s="247">
        <f>E205*0.9895</f>
        <v>25342938.27</v>
      </c>
      <c r="G205" s="312"/>
      <c r="H205" s="1123">
        <f t="shared" si="2"/>
        <v>768355.88</v>
      </c>
      <c r="I205" s="1108"/>
      <c r="J205" s="305"/>
      <c r="K205" s="208"/>
    </row>
    <row r="206" spans="1:11" s="209" customFormat="1" ht="29.25" customHeight="1" x14ac:dyDescent="0.25">
      <c r="A206" s="237" t="s">
        <v>134</v>
      </c>
      <c r="B206" s="245">
        <v>3</v>
      </c>
      <c r="C206" s="1122">
        <v>43427</v>
      </c>
      <c r="D206" s="1122">
        <v>45198</v>
      </c>
      <c r="E206" s="246">
        <v>23994303.370000001</v>
      </c>
      <c r="F206" s="247">
        <v>23634388.82</v>
      </c>
      <c r="G206" s="312"/>
      <c r="H206" s="1123">
        <f t="shared" ref="H206:H227" si="3">E206*B206/100</f>
        <v>719829.1</v>
      </c>
      <c r="I206" s="1108"/>
      <c r="J206" s="305"/>
      <c r="K206" s="208"/>
    </row>
    <row r="207" spans="1:11" s="209" customFormat="1" ht="29.25" customHeight="1" x14ac:dyDescent="0.25">
      <c r="A207" s="237" t="s">
        <v>353</v>
      </c>
      <c r="B207" s="245">
        <v>3</v>
      </c>
      <c r="C207" s="1122">
        <v>43581</v>
      </c>
      <c r="D207" s="1122">
        <v>45198</v>
      </c>
      <c r="E207" s="246">
        <v>93000000</v>
      </c>
      <c r="F207" s="247">
        <v>92581500</v>
      </c>
      <c r="G207" s="312"/>
      <c r="H207" s="1123">
        <f t="shared" si="3"/>
        <v>2790000</v>
      </c>
      <c r="I207" s="1108"/>
      <c r="J207" s="305"/>
      <c r="K207" s="208"/>
    </row>
    <row r="208" spans="1:11" s="209" customFormat="1" ht="29.25" customHeight="1" x14ac:dyDescent="0.25">
      <c r="A208" s="237" t="s">
        <v>273</v>
      </c>
      <c r="B208" s="245">
        <v>3</v>
      </c>
      <c r="C208" s="1122">
        <v>43609</v>
      </c>
      <c r="D208" s="1122">
        <v>45198</v>
      </c>
      <c r="E208" s="246">
        <f>20000000+20000000+20000000+19204423.15</f>
        <v>79204423.150000006</v>
      </c>
      <c r="F208" s="247">
        <f>19940000+19940000+19940000+19146809.88</f>
        <v>78966809.879999995</v>
      </c>
      <c r="G208" s="312"/>
      <c r="H208" s="1123">
        <f t="shared" si="3"/>
        <v>2376132.69</v>
      </c>
      <c r="I208" s="1108"/>
      <c r="J208" s="305"/>
      <c r="K208" s="208"/>
    </row>
    <row r="209" spans="1:11" s="209" customFormat="1" ht="27" customHeight="1" x14ac:dyDescent="0.25">
      <c r="A209" s="1125" t="s">
        <v>274</v>
      </c>
      <c r="B209" s="1136"/>
      <c r="C209" s="1126"/>
      <c r="D209" s="1126"/>
      <c r="E209" s="1119">
        <f>SUM(E210)</f>
        <v>69617063.469999999</v>
      </c>
      <c r="F209" s="1119">
        <f>SUM(F210)</f>
        <v>69510549.359999999</v>
      </c>
      <c r="G209" s="312"/>
      <c r="H209" s="1123"/>
      <c r="I209" s="1108"/>
      <c r="J209" s="305"/>
      <c r="K209" s="208"/>
    </row>
    <row r="210" spans="1:11" s="209" customFormat="1" ht="30.75" customHeight="1" x14ac:dyDescent="0.25">
      <c r="A210" s="237" t="s">
        <v>136</v>
      </c>
      <c r="B210" s="245">
        <v>3.75</v>
      </c>
      <c r="C210" s="1122">
        <v>43572</v>
      </c>
      <c r="D210" s="1122">
        <v>46129</v>
      </c>
      <c r="E210" s="246">
        <v>69617063.469999999</v>
      </c>
      <c r="F210" s="247">
        <v>69510549.359999999</v>
      </c>
      <c r="G210" s="312"/>
      <c r="H210" s="1123">
        <f t="shared" si="3"/>
        <v>2610639.88</v>
      </c>
      <c r="I210" s="1108"/>
      <c r="J210" s="305"/>
      <c r="K210" s="208"/>
    </row>
    <row r="211" spans="1:11" s="209" customFormat="1" ht="24" customHeight="1" x14ac:dyDescent="0.25">
      <c r="A211" s="1127" t="s">
        <v>596</v>
      </c>
      <c r="B211" s="1136"/>
      <c r="C211" s="1126"/>
      <c r="D211" s="1126"/>
      <c r="E211" s="1119">
        <f>SUM(E212:E217)</f>
        <v>80502955.709999993</v>
      </c>
      <c r="F211" s="1119">
        <f>SUM(F212:F217)</f>
        <v>78396660.560000002</v>
      </c>
      <c r="G211" s="312"/>
      <c r="H211" s="305">
        <f>SUM(H203:H210)</f>
        <v>11387009.970000001</v>
      </c>
      <c r="I211" s="1108">
        <f>H211/F202</f>
        <v>3.9199999999999999E-2</v>
      </c>
      <c r="J211" s="305" t="s">
        <v>597</v>
      </c>
      <c r="K211" s="208"/>
    </row>
    <row r="212" spans="1:11" s="209" customFormat="1" ht="29.25" customHeight="1" x14ac:dyDescent="0.25">
      <c r="A212" s="237" t="s">
        <v>598</v>
      </c>
      <c r="B212" s="245">
        <v>0</v>
      </c>
      <c r="C212" s="1122">
        <v>44673</v>
      </c>
      <c r="D212" s="1122">
        <v>45037</v>
      </c>
      <c r="E212" s="246">
        <v>12500000</v>
      </c>
      <c r="F212" s="247">
        <v>12240000</v>
      </c>
      <c r="G212" s="312"/>
      <c r="H212" s="1123">
        <f t="shared" si="3"/>
        <v>0</v>
      </c>
      <c r="I212" s="1108"/>
      <c r="J212" s="305"/>
      <c r="K212" s="208"/>
    </row>
    <row r="213" spans="1:11" s="209" customFormat="1" ht="29.25" customHeight="1" x14ac:dyDescent="0.25">
      <c r="A213" s="237" t="s">
        <v>610</v>
      </c>
      <c r="B213" s="245">
        <v>0</v>
      </c>
      <c r="C213" s="1122">
        <v>44673</v>
      </c>
      <c r="D213" s="1122">
        <v>45037</v>
      </c>
      <c r="E213" s="246">
        <v>2687462.5</v>
      </c>
      <c r="F213" s="247">
        <v>2630219.5499999998</v>
      </c>
      <c r="G213" s="312"/>
      <c r="H213" s="1123">
        <f t="shared" si="3"/>
        <v>0</v>
      </c>
      <c r="I213" s="1108">
        <f>J213/F211</f>
        <v>2.69E-2</v>
      </c>
      <c r="J213" s="305">
        <f>E211-F211</f>
        <v>2106295.15</v>
      </c>
      <c r="K213" s="208"/>
    </row>
    <row r="214" spans="1:11" s="209" customFormat="1" ht="29.25" customHeight="1" x14ac:dyDescent="0.25">
      <c r="A214" s="237" t="s">
        <v>611</v>
      </c>
      <c r="B214" s="245">
        <v>0</v>
      </c>
      <c r="C214" s="1122">
        <v>44694</v>
      </c>
      <c r="D214" s="1122">
        <v>45058</v>
      </c>
      <c r="E214" s="246">
        <v>9150000</v>
      </c>
      <c r="F214" s="247">
        <v>8928570</v>
      </c>
      <c r="G214" s="312"/>
      <c r="H214" s="1123">
        <f t="shared" si="3"/>
        <v>0</v>
      </c>
      <c r="I214" s="1108"/>
      <c r="J214" s="305"/>
      <c r="K214" s="208"/>
    </row>
    <row r="215" spans="1:11" s="209" customFormat="1" ht="29.25" customHeight="1" x14ac:dyDescent="0.25">
      <c r="A215" s="237" t="s">
        <v>612</v>
      </c>
      <c r="B215" s="245">
        <v>0</v>
      </c>
      <c r="C215" s="1122">
        <v>44729</v>
      </c>
      <c r="D215" s="1122">
        <v>45093</v>
      </c>
      <c r="E215" s="246">
        <v>21000000</v>
      </c>
      <c r="F215" s="247">
        <v>20427855</v>
      </c>
      <c r="G215" s="312"/>
      <c r="H215" s="1123">
        <f t="shared" si="3"/>
        <v>0</v>
      </c>
      <c r="I215" s="1108"/>
      <c r="J215" s="305"/>
      <c r="K215" s="208"/>
    </row>
    <row r="216" spans="1:11" s="209" customFormat="1" ht="29.25" customHeight="1" x14ac:dyDescent="0.25">
      <c r="A216" s="237" t="s">
        <v>601</v>
      </c>
      <c r="B216" s="245">
        <v>0</v>
      </c>
      <c r="C216" s="1122">
        <v>44757</v>
      </c>
      <c r="D216" s="1122">
        <v>45030</v>
      </c>
      <c r="E216" s="246">
        <v>17129140.52</v>
      </c>
      <c r="F216" s="247">
        <v>16718041.15</v>
      </c>
      <c r="G216" s="310"/>
      <c r="H216" s="1123">
        <f t="shared" si="3"/>
        <v>0</v>
      </c>
      <c r="I216" s="1108"/>
      <c r="J216" s="305"/>
      <c r="K216" s="208"/>
    </row>
    <row r="217" spans="1:11" s="209" customFormat="1" ht="29.25" customHeight="1" x14ac:dyDescent="0.25">
      <c r="A217" s="237" t="s">
        <v>602</v>
      </c>
      <c r="B217" s="245">
        <v>0</v>
      </c>
      <c r="C217" s="1122">
        <v>44785</v>
      </c>
      <c r="D217" s="1122">
        <v>45149</v>
      </c>
      <c r="E217" s="246">
        <v>18036352.690000001</v>
      </c>
      <c r="F217" s="247">
        <v>17451974.859999999</v>
      </c>
      <c r="G217" s="310"/>
      <c r="H217" s="1123">
        <f t="shared" si="3"/>
        <v>0</v>
      </c>
      <c r="I217" s="1108"/>
      <c r="J217" s="305"/>
      <c r="K217" s="208"/>
    </row>
    <row r="218" spans="1:11" s="209" customFormat="1" ht="19.5" customHeight="1" x14ac:dyDescent="0.25">
      <c r="A218" s="1137" t="s">
        <v>139</v>
      </c>
      <c r="B218" s="1117"/>
      <c r="C218" s="1138"/>
      <c r="D218" s="1138"/>
      <c r="E218" s="1139">
        <f>SUM(E219:E223)</f>
        <v>264374620.30000001</v>
      </c>
      <c r="F218" s="1119">
        <f>SUM(F219:F223)</f>
        <v>264374620.30000001</v>
      </c>
      <c r="G218" s="208"/>
      <c r="H218" s="1123">
        <f t="shared" si="3"/>
        <v>0</v>
      </c>
      <c r="I218" s="1108"/>
      <c r="J218" s="305"/>
      <c r="K218" s="208"/>
    </row>
    <row r="219" spans="1:11" s="209" customFormat="1" ht="35.25" customHeight="1" x14ac:dyDescent="0.25">
      <c r="A219" s="1140" t="s">
        <v>160</v>
      </c>
      <c r="B219" s="245">
        <v>3</v>
      </c>
      <c r="C219" s="1122">
        <v>43712</v>
      </c>
      <c r="D219" s="1122">
        <v>47365</v>
      </c>
      <c r="E219" s="246">
        <v>145874620.30000001</v>
      </c>
      <c r="F219" s="246">
        <v>145874620.30000001</v>
      </c>
      <c r="G219" s="208"/>
      <c r="H219" s="1123">
        <f t="shared" si="3"/>
        <v>4376238.6100000003</v>
      </c>
      <c r="I219" s="1108">
        <v>0.03</v>
      </c>
      <c r="J219" s="305"/>
      <c r="K219" s="208"/>
    </row>
    <row r="220" spans="1:11" s="209" customFormat="1" ht="35.25" customHeight="1" x14ac:dyDescent="0.25">
      <c r="A220" s="1140" t="s">
        <v>278</v>
      </c>
      <c r="B220" s="245">
        <v>3.25</v>
      </c>
      <c r="C220" s="1122" t="s">
        <v>279</v>
      </c>
      <c r="D220" s="1122" t="s">
        <v>280</v>
      </c>
      <c r="E220" s="246">
        <v>30000000</v>
      </c>
      <c r="F220" s="246">
        <v>30000000</v>
      </c>
      <c r="G220" s="208"/>
      <c r="H220" s="1123">
        <f t="shared" si="3"/>
        <v>975000</v>
      </c>
      <c r="I220" s="1108"/>
      <c r="J220" s="305"/>
      <c r="K220" s="208"/>
    </row>
    <row r="221" spans="1:11" s="209" customFormat="1" ht="35.25" customHeight="1" x14ac:dyDescent="0.25">
      <c r="A221" s="1140" t="s">
        <v>281</v>
      </c>
      <c r="B221" s="245">
        <v>3.65</v>
      </c>
      <c r="C221" s="1122" t="s">
        <v>282</v>
      </c>
      <c r="D221" s="1122" t="s">
        <v>283</v>
      </c>
      <c r="E221" s="246">
        <v>41469432.689999998</v>
      </c>
      <c r="F221" s="246">
        <v>41469432.689999998</v>
      </c>
      <c r="G221" s="208"/>
      <c r="H221" s="1123">
        <f t="shared" si="3"/>
        <v>1513634.29</v>
      </c>
      <c r="I221" s="1108"/>
      <c r="J221" s="305"/>
      <c r="K221" s="208"/>
    </row>
    <row r="222" spans="1:11" s="209" customFormat="1" ht="35.25" customHeight="1" x14ac:dyDescent="0.25">
      <c r="A222" s="1140" t="s">
        <v>281</v>
      </c>
      <c r="B222" s="245">
        <v>3.65</v>
      </c>
      <c r="C222" s="1122" t="s">
        <v>282</v>
      </c>
      <c r="D222" s="1122" t="s">
        <v>283</v>
      </c>
      <c r="E222" s="246">
        <v>36872355.520000003</v>
      </c>
      <c r="F222" s="246">
        <v>36872355.520000003</v>
      </c>
      <c r="G222" s="208"/>
      <c r="H222" s="1123">
        <f t="shared" si="3"/>
        <v>1345840.98</v>
      </c>
      <c r="I222" s="1108"/>
      <c r="J222" s="305"/>
      <c r="K222" s="208"/>
    </row>
    <row r="223" spans="1:11" s="209" customFormat="1" ht="35.25" customHeight="1" x14ac:dyDescent="0.25">
      <c r="A223" s="1140" t="s">
        <v>281</v>
      </c>
      <c r="B223" s="245">
        <v>3.65</v>
      </c>
      <c r="C223" s="1122" t="s">
        <v>282</v>
      </c>
      <c r="D223" s="1122" t="s">
        <v>283</v>
      </c>
      <c r="E223" s="246">
        <v>10158211.789999999</v>
      </c>
      <c r="F223" s="246">
        <v>10158211.789999999</v>
      </c>
      <c r="G223" s="208"/>
      <c r="H223" s="1123">
        <f t="shared" si="3"/>
        <v>370774.73</v>
      </c>
      <c r="I223" s="1108"/>
      <c r="J223" s="305"/>
      <c r="K223" s="208"/>
    </row>
    <row r="224" spans="1:11" s="209" customFormat="1" ht="24.75" customHeight="1" x14ac:dyDescent="0.25">
      <c r="A224" s="1137" t="s">
        <v>275</v>
      </c>
      <c r="B224" s="1114"/>
      <c r="C224" s="1118"/>
      <c r="D224" s="1118"/>
      <c r="E224" s="1119">
        <f>SUM(E225:E225)</f>
        <v>7963980</v>
      </c>
      <c r="F224" s="1119">
        <f>SUM(F225:F225)</f>
        <v>7963980</v>
      </c>
      <c r="G224" s="208"/>
      <c r="H224" s="305">
        <f>SUM(H220:H223)</f>
        <v>4205250</v>
      </c>
      <c r="I224" s="1108">
        <f>H224/SUM(F220+F221+F222+F223)</f>
        <v>3.5499999999999997E-2</v>
      </c>
      <c r="J224" s="305"/>
      <c r="K224" s="208"/>
    </row>
    <row r="225" spans="1:11" s="209" customFormat="1" ht="35.25" customHeight="1" x14ac:dyDescent="0.25">
      <c r="A225" s="1140" t="s">
        <v>603</v>
      </c>
      <c r="B225" s="1131">
        <v>5.4</v>
      </c>
      <c r="C225" s="1122">
        <v>44756</v>
      </c>
      <c r="D225" s="1122">
        <v>48409</v>
      </c>
      <c r="E225" s="246">
        <v>7963980</v>
      </c>
      <c r="F225" s="246">
        <v>7963980</v>
      </c>
      <c r="G225" s="208"/>
      <c r="H225" s="1123">
        <f t="shared" si="3"/>
        <v>430054.92</v>
      </c>
      <c r="I225" s="209">
        <v>5.4</v>
      </c>
      <c r="J225" s="305"/>
      <c r="K225" s="208"/>
    </row>
    <row r="226" spans="1:11" s="209" customFormat="1" ht="25.5" customHeight="1" x14ac:dyDescent="0.25">
      <c r="A226" s="1137" t="s">
        <v>604</v>
      </c>
      <c r="B226" s="1114"/>
      <c r="C226" s="1118"/>
      <c r="D226" s="1118"/>
      <c r="E226" s="1119">
        <f>SUM(E227)</f>
        <v>128117862.84</v>
      </c>
      <c r="F226" s="1119">
        <f>SUM(F227)</f>
        <v>128117862.84</v>
      </c>
      <c r="G226" s="208"/>
      <c r="H226" s="1123"/>
      <c r="I226" s="1108"/>
      <c r="J226" s="305"/>
      <c r="K226" s="208"/>
    </row>
    <row r="227" spans="1:11" s="209" customFormat="1" ht="35.25" customHeight="1" x14ac:dyDescent="0.25">
      <c r="A227" s="1140" t="s">
        <v>605</v>
      </c>
      <c r="B227" s="1131">
        <v>3.81</v>
      </c>
      <c r="C227" s="1122">
        <v>44834</v>
      </c>
      <c r="D227" s="1122">
        <v>52139</v>
      </c>
      <c r="E227" s="246">
        <v>128117862.84</v>
      </c>
      <c r="F227" s="246">
        <v>128117862.84</v>
      </c>
      <c r="G227" s="208"/>
      <c r="H227" s="1123">
        <f t="shared" si="3"/>
        <v>4881290.57</v>
      </c>
      <c r="I227" s="1108">
        <v>3.5000000000000003E-2</v>
      </c>
      <c r="J227" s="305"/>
      <c r="K227" s="208"/>
    </row>
    <row r="228" spans="1:11" s="209" customFormat="1" ht="11.25" customHeight="1" x14ac:dyDescent="0.25">
      <c r="A228" s="1145"/>
      <c r="B228" s="1146"/>
      <c r="C228" s="1147"/>
      <c r="D228" s="1147"/>
      <c r="E228" s="161"/>
      <c r="F228" s="161"/>
      <c r="G228" s="208"/>
      <c r="H228" s="305"/>
      <c r="I228" s="1108"/>
      <c r="J228" s="305"/>
      <c r="K228" s="208"/>
    </row>
    <row r="229" spans="1:11" ht="12.75" customHeight="1" x14ac:dyDescent="0.35">
      <c r="A229" s="204"/>
      <c r="B229" s="327"/>
      <c r="C229" s="327"/>
      <c r="D229" s="327"/>
      <c r="E229" s="204"/>
      <c r="F229" s="1148"/>
    </row>
    <row r="230" spans="1:11" ht="14.25" customHeight="1" x14ac:dyDescent="0.3">
      <c r="A230" s="1626"/>
      <c r="B230" s="1626"/>
      <c r="C230" s="1626"/>
      <c r="D230" s="1626"/>
      <c r="E230" s="1626"/>
      <c r="F230" s="1626"/>
    </row>
    <row r="231" spans="1:11" ht="15" x14ac:dyDescent="0.3">
      <c r="A231" s="1626" t="s">
        <v>213</v>
      </c>
      <c r="B231" s="1626"/>
      <c r="C231" s="1626"/>
      <c r="D231" s="1626" t="s">
        <v>357</v>
      </c>
      <c r="E231" s="1626"/>
      <c r="F231" s="1626"/>
    </row>
    <row r="232" spans="1:11" ht="29.25" customHeight="1" x14ac:dyDescent="0.3">
      <c r="A232" s="1623" t="s">
        <v>358</v>
      </c>
      <c r="B232" s="1623"/>
      <c r="C232" s="1623"/>
      <c r="D232" s="1623" t="s">
        <v>167</v>
      </c>
      <c r="E232" s="1623"/>
      <c r="F232" s="1623"/>
    </row>
  </sheetData>
  <mergeCells count="11">
    <mergeCell ref="A231:C231"/>
    <mergeCell ref="D231:F231"/>
    <mergeCell ref="A232:C232"/>
    <mergeCell ref="D232:F232"/>
    <mergeCell ref="A2:F2"/>
    <mergeCell ref="A3:F3"/>
    <mergeCell ref="A4:F4"/>
    <mergeCell ref="A5:F5"/>
    <mergeCell ref="A6:F6"/>
    <mergeCell ref="A230:C230"/>
    <mergeCell ref="D230:F230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K55"/>
  <sheetViews>
    <sheetView workbookViewId="0">
      <selection activeCell="I26" sqref="I26"/>
    </sheetView>
  </sheetViews>
  <sheetFormatPr baseColWidth="10" defaultColWidth="11.453125" defaultRowHeight="15.5" x14ac:dyDescent="0.35"/>
  <cols>
    <col min="1" max="1" width="8.54296875" style="203" customWidth="1"/>
    <col min="2" max="2" width="42.1796875" style="294" customWidth="1"/>
    <col min="3" max="3" width="13.7265625" style="294" customWidth="1"/>
    <col min="4" max="4" width="16.26953125" style="295" customWidth="1"/>
    <col min="5" max="5" width="15" style="295" customWidth="1"/>
    <col min="6" max="6" width="20.7265625" style="294" customWidth="1"/>
    <col min="7" max="7" width="24.453125" style="294" customWidth="1"/>
    <col min="8" max="8" width="25.81640625" style="1098" customWidth="1"/>
    <col min="9" max="9" width="27.1796875" style="1099" customWidth="1"/>
    <col min="10" max="10" width="16.81640625" style="207" customWidth="1"/>
    <col min="11" max="11" width="23.7265625" style="207" customWidth="1"/>
    <col min="12" max="16384" width="11.453125" style="207"/>
  </cols>
  <sheetData>
    <row r="1" spans="1:9" ht="26.25" customHeight="1" x14ac:dyDescent="0.35">
      <c r="B1" s="260"/>
      <c r="C1" s="260"/>
      <c r="D1" s="261"/>
      <c r="E1" s="261"/>
      <c r="F1" s="260"/>
      <c r="G1" s="262" t="s">
        <v>584</v>
      </c>
    </row>
    <row r="2" spans="1:9" ht="20.25" customHeight="1" x14ac:dyDescent="0.35">
      <c r="B2" s="1628" t="s">
        <v>0</v>
      </c>
      <c r="C2" s="1628"/>
      <c r="D2" s="1628"/>
      <c r="E2" s="1628"/>
      <c r="F2" s="1628"/>
      <c r="G2" s="1628"/>
    </row>
    <row r="3" spans="1:9" s="209" customFormat="1" ht="5.25" hidden="1" customHeight="1" x14ac:dyDescent="0.35">
      <c r="A3" s="203"/>
      <c r="B3" s="1628"/>
      <c r="C3" s="1628"/>
      <c r="D3" s="1628"/>
      <c r="E3" s="1628"/>
      <c r="F3" s="1628"/>
      <c r="G3" s="1628"/>
      <c r="H3" s="277"/>
      <c r="I3" s="281"/>
    </row>
    <row r="4" spans="1:9" s="209" customFormat="1" ht="21" customHeight="1" x14ac:dyDescent="0.35">
      <c r="A4" s="203"/>
      <c r="B4" s="1628" t="s">
        <v>91</v>
      </c>
      <c r="C4" s="1628"/>
      <c r="D4" s="1628"/>
      <c r="E4" s="1628"/>
      <c r="F4" s="1628"/>
      <c r="G4" s="1628"/>
      <c r="H4" s="277"/>
      <c r="I4" s="281"/>
    </row>
    <row r="5" spans="1:9" s="209" customFormat="1" ht="34.9" customHeight="1" x14ac:dyDescent="0.35">
      <c r="A5" s="203"/>
      <c r="B5" s="1630" t="s">
        <v>585</v>
      </c>
      <c r="C5" s="1629"/>
      <c r="D5" s="1629"/>
      <c r="E5" s="1629"/>
      <c r="F5" s="1629"/>
      <c r="G5" s="1629"/>
      <c r="H5" s="277"/>
      <c r="I5" s="281"/>
    </row>
    <row r="6" spans="1:9" s="209" customFormat="1" ht="18.75" customHeight="1" x14ac:dyDescent="0.35">
      <c r="A6" s="203"/>
      <c r="B6" s="1631" t="s">
        <v>553</v>
      </c>
      <c r="C6" s="1631"/>
      <c r="D6" s="1631"/>
      <c r="E6" s="1631"/>
      <c r="F6" s="1631"/>
      <c r="G6" s="1631"/>
      <c r="H6" s="277"/>
      <c r="I6" s="281"/>
    </row>
    <row r="7" spans="1:9" s="209" customFormat="1" ht="16.5" customHeight="1" x14ac:dyDescent="0.3">
      <c r="A7" s="203"/>
      <c r="B7" s="1624" t="s">
        <v>95</v>
      </c>
      <c r="C7" s="1624"/>
      <c r="D7" s="1624"/>
      <c r="E7" s="1624"/>
      <c r="F7" s="1624"/>
      <c r="G7" s="1624"/>
      <c r="H7" s="277"/>
      <c r="I7" s="281"/>
    </row>
    <row r="8" spans="1:9" s="268" customFormat="1" ht="43.5" customHeight="1" x14ac:dyDescent="0.3">
      <c r="A8" s="263"/>
      <c r="B8" s="264" t="s">
        <v>96</v>
      </c>
      <c r="C8" s="265" t="s">
        <v>97</v>
      </c>
      <c r="D8" s="1632" t="s">
        <v>586</v>
      </c>
      <c r="E8" s="1633"/>
      <c r="F8" s="266" t="s">
        <v>99</v>
      </c>
      <c r="G8" s="267" t="s">
        <v>100</v>
      </c>
      <c r="H8" s="1100"/>
      <c r="I8" s="1101"/>
    </row>
    <row r="9" spans="1:9" s="209" customFormat="1" ht="30" customHeight="1" x14ac:dyDescent="0.3">
      <c r="A9" s="203"/>
      <c r="B9" s="269" t="s">
        <v>101</v>
      </c>
      <c r="C9" s="270"/>
      <c r="D9" s="271"/>
      <c r="E9" s="271"/>
      <c r="F9" s="272">
        <f>SUM(F14+F16+F42+F49+F47+F10)</f>
        <v>700503715.48000002</v>
      </c>
      <c r="G9" s="272">
        <f>SUM(G14+G16+G42+G49+G47+G10)</f>
        <v>742814049.98000002</v>
      </c>
      <c r="H9" s="277"/>
      <c r="I9" s="281"/>
    </row>
    <row r="10" spans="1:9" s="273" customFormat="1" ht="24.75" hidden="1" customHeight="1" x14ac:dyDescent="0.3">
      <c r="A10" s="203"/>
      <c r="B10" s="225"/>
      <c r="C10" s="226"/>
      <c r="D10" s="219"/>
      <c r="E10" s="219"/>
      <c r="F10" s="220"/>
      <c r="G10" s="220"/>
      <c r="H10" s="1102"/>
      <c r="I10" s="1103"/>
    </row>
    <row r="11" spans="1:9" s="273" customFormat="1" ht="24.75" hidden="1" customHeight="1" x14ac:dyDescent="0.3">
      <c r="A11" s="203"/>
      <c r="B11" s="241"/>
      <c r="C11" s="241"/>
      <c r="D11" s="229"/>
      <c r="E11" s="229"/>
      <c r="F11" s="230"/>
      <c r="G11" s="231"/>
      <c r="H11" s="1102"/>
      <c r="I11" s="1103"/>
    </row>
    <row r="12" spans="1:9" s="273" customFormat="1" ht="24.75" hidden="1" customHeight="1" x14ac:dyDescent="0.3">
      <c r="A12" s="203"/>
      <c r="B12" s="241"/>
      <c r="C12" s="241"/>
      <c r="D12" s="229"/>
      <c r="E12" s="229"/>
      <c r="F12" s="230"/>
      <c r="G12" s="231"/>
      <c r="H12" s="1102"/>
      <c r="I12" s="1103"/>
    </row>
    <row r="13" spans="1:9" s="273" customFormat="1" ht="24.75" hidden="1" customHeight="1" x14ac:dyDescent="0.3">
      <c r="A13" s="203"/>
      <c r="B13" s="241"/>
      <c r="C13" s="241"/>
      <c r="D13" s="229"/>
      <c r="E13" s="229"/>
      <c r="F13" s="230"/>
      <c r="G13" s="231"/>
      <c r="H13" s="1102"/>
      <c r="I13" s="1103"/>
    </row>
    <row r="14" spans="1:9" s="209" customFormat="1" ht="22.9" customHeight="1" x14ac:dyDescent="0.3">
      <c r="A14" s="203"/>
      <c r="B14" s="225" t="s">
        <v>171</v>
      </c>
      <c r="C14" s="226"/>
      <c r="D14" s="219"/>
      <c r="E14" s="219"/>
      <c r="F14" s="220">
        <f>SUM(F15)</f>
        <v>24077783.5</v>
      </c>
      <c r="G14" s="220">
        <f>SUM(G15)</f>
        <v>23974008.25</v>
      </c>
      <c r="H14" s="277"/>
      <c r="I14" s="281"/>
    </row>
    <row r="15" spans="1:9" s="209" customFormat="1" ht="22.9" customHeight="1" x14ac:dyDescent="0.3">
      <c r="A15" s="203"/>
      <c r="B15" s="274" t="s">
        <v>172</v>
      </c>
      <c r="C15" s="234">
        <v>4.5</v>
      </c>
      <c r="D15" s="229">
        <v>43206</v>
      </c>
      <c r="E15" s="229">
        <v>54894</v>
      </c>
      <c r="F15" s="230">
        <v>24077783.5</v>
      </c>
      <c r="G15" s="230">
        <v>23974008.25</v>
      </c>
      <c r="H15" s="1104">
        <f>F15*C15/100</f>
        <v>1083500.26</v>
      </c>
      <c r="I15" s="281">
        <f>H15/G15</f>
        <v>4.5199999999999997E-2</v>
      </c>
    </row>
    <row r="16" spans="1:9" s="209" customFormat="1" ht="22.9" customHeight="1" x14ac:dyDescent="0.3">
      <c r="A16" s="203"/>
      <c r="B16" s="225" t="s">
        <v>180</v>
      </c>
      <c r="C16" s="233"/>
      <c r="D16" s="219"/>
      <c r="E16" s="219"/>
      <c r="F16" s="220">
        <f>SUM(F17:F41)</f>
        <v>542771460.96000004</v>
      </c>
      <c r="G16" s="220">
        <f>SUM(G17:G41)</f>
        <v>586031727.98000002</v>
      </c>
      <c r="H16" s="1104"/>
      <c r="I16" s="1105"/>
    </row>
    <row r="17" spans="1:10" s="209" customFormat="1" ht="22.9" customHeight="1" x14ac:dyDescent="0.3">
      <c r="A17" s="203"/>
      <c r="B17" s="274" t="s">
        <v>181</v>
      </c>
      <c r="C17" s="228">
        <v>4.95</v>
      </c>
      <c r="D17" s="229">
        <v>41603</v>
      </c>
      <c r="E17" s="229">
        <v>45436</v>
      </c>
      <c r="F17" s="230">
        <v>3907000</v>
      </c>
      <c r="G17" s="231">
        <v>3828860</v>
      </c>
      <c r="H17" s="1104">
        <f t="shared" ref="H17:H48" si="0">F17*C17/100</f>
        <v>193396.5</v>
      </c>
      <c r="I17" s="1105"/>
    </row>
    <row r="18" spans="1:10" s="209" customFormat="1" ht="22.9" customHeight="1" x14ac:dyDescent="0.3">
      <c r="A18" s="203"/>
      <c r="B18" s="274" t="s">
        <v>182</v>
      </c>
      <c r="C18" s="228">
        <v>4.95</v>
      </c>
      <c r="D18" s="229">
        <v>42545</v>
      </c>
      <c r="E18" s="229">
        <v>45436</v>
      </c>
      <c r="F18" s="230">
        <v>8500000</v>
      </c>
      <c r="G18" s="231">
        <v>9048250</v>
      </c>
      <c r="H18" s="1104">
        <f t="shared" si="0"/>
        <v>420750</v>
      </c>
      <c r="I18" s="1105"/>
    </row>
    <row r="19" spans="1:10" s="209" customFormat="1" ht="22.9" customHeight="1" x14ac:dyDescent="0.3">
      <c r="A19" s="203"/>
      <c r="B19" s="274" t="s">
        <v>183</v>
      </c>
      <c r="C19" s="228">
        <v>4.95</v>
      </c>
      <c r="D19" s="229">
        <v>42545</v>
      </c>
      <c r="E19" s="229">
        <v>45436</v>
      </c>
      <c r="F19" s="230">
        <v>17000000</v>
      </c>
      <c r="G19" s="231">
        <v>18071000</v>
      </c>
      <c r="H19" s="1104">
        <f t="shared" si="0"/>
        <v>841500</v>
      </c>
      <c r="I19" s="281"/>
    </row>
    <row r="20" spans="1:10" s="209" customFormat="1" ht="22.9" customHeight="1" x14ac:dyDescent="0.3">
      <c r="A20" s="203"/>
      <c r="B20" s="274" t="s">
        <v>184</v>
      </c>
      <c r="C20" s="228">
        <v>4.95</v>
      </c>
      <c r="D20" s="229">
        <v>42545</v>
      </c>
      <c r="E20" s="229">
        <v>45436</v>
      </c>
      <c r="F20" s="230">
        <v>16000000</v>
      </c>
      <c r="G20" s="231">
        <v>16992000</v>
      </c>
      <c r="H20" s="1104">
        <f t="shared" si="0"/>
        <v>792000</v>
      </c>
      <c r="I20" s="281"/>
    </row>
    <row r="21" spans="1:10" s="209" customFormat="1" ht="22.9" customHeight="1" x14ac:dyDescent="0.3">
      <c r="A21" s="203"/>
      <c r="B21" s="274" t="s">
        <v>185</v>
      </c>
      <c r="C21" s="228">
        <v>4.95</v>
      </c>
      <c r="D21" s="229">
        <v>42545</v>
      </c>
      <c r="E21" s="229">
        <v>45436</v>
      </c>
      <c r="F21" s="230">
        <v>3132000</v>
      </c>
      <c r="G21" s="231">
        <v>3323052</v>
      </c>
      <c r="H21" s="1104">
        <f t="shared" si="0"/>
        <v>155034</v>
      </c>
      <c r="I21" s="281"/>
    </row>
    <row r="22" spans="1:10" s="209" customFormat="1" ht="22.9" customHeight="1" x14ac:dyDescent="0.3">
      <c r="A22" s="203"/>
      <c r="B22" s="274" t="s">
        <v>186</v>
      </c>
      <c r="C22" s="228">
        <v>4.95</v>
      </c>
      <c r="D22" s="229">
        <v>42545</v>
      </c>
      <c r="E22" s="229">
        <v>45436</v>
      </c>
      <c r="F22" s="230">
        <v>9000000</v>
      </c>
      <c r="G22" s="231">
        <v>9580500</v>
      </c>
      <c r="H22" s="1104">
        <f t="shared" si="0"/>
        <v>445500</v>
      </c>
      <c r="I22" s="281"/>
    </row>
    <row r="23" spans="1:10" s="209" customFormat="1" ht="22.9" customHeight="1" x14ac:dyDescent="0.3">
      <c r="A23" s="203"/>
      <c r="B23" s="274" t="s">
        <v>187</v>
      </c>
      <c r="C23" s="228">
        <v>4.95</v>
      </c>
      <c r="D23" s="229">
        <v>42545</v>
      </c>
      <c r="E23" s="229">
        <v>45436</v>
      </c>
      <c r="F23" s="230">
        <v>16000000</v>
      </c>
      <c r="G23" s="231">
        <v>17008000</v>
      </c>
      <c r="H23" s="1104">
        <f t="shared" si="0"/>
        <v>792000</v>
      </c>
      <c r="I23" s="281"/>
    </row>
    <row r="24" spans="1:10" s="209" customFormat="1" ht="22.9" customHeight="1" x14ac:dyDescent="0.3">
      <c r="A24" s="203"/>
      <c r="B24" s="274" t="s">
        <v>188</v>
      </c>
      <c r="C24" s="228">
        <v>4.95</v>
      </c>
      <c r="D24" s="229">
        <v>42545</v>
      </c>
      <c r="E24" s="229">
        <v>45436</v>
      </c>
      <c r="F24" s="230">
        <v>17000000</v>
      </c>
      <c r="G24" s="231">
        <v>18054000</v>
      </c>
      <c r="H24" s="1104">
        <f t="shared" si="0"/>
        <v>841500</v>
      </c>
      <c r="I24" s="281"/>
      <c r="J24" s="277"/>
    </row>
    <row r="25" spans="1:10" s="209" customFormat="1" ht="22.9" customHeight="1" x14ac:dyDescent="0.3">
      <c r="A25" s="203"/>
      <c r="B25" s="274" t="s">
        <v>189</v>
      </c>
      <c r="C25" s="228">
        <v>4.95</v>
      </c>
      <c r="D25" s="229">
        <v>42545</v>
      </c>
      <c r="E25" s="229">
        <v>45436</v>
      </c>
      <c r="F25" s="230">
        <v>15217000</v>
      </c>
      <c r="G25" s="231">
        <v>16145237</v>
      </c>
      <c r="H25" s="1104">
        <f t="shared" si="0"/>
        <v>753241.5</v>
      </c>
      <c r="I25" s="281"/>
      <c r="J25" s="277"/>
    </row>
    <row r="26" spans="1:10" s="209" customFormat="1" ht="22.9" customHeight="1" x14ac:dyDescent="0.3">
      <c r="A26" s="203"/>
      <c r="B26" s="274" t="s">
        <v>190</v>
      </c>
      <c r="C26" s="228">
        <v>4.95</v>
      </c>
      <c r="D26" s="229">
        <v>42545</v>
      </c>
      <c r="E26" s="229">
        <v>45436</v>
      </c>
      <c r="F26" s="230">
        <v>8000000</v>
      </c>
      <c r="G26" s="231">
        <v>8516000</v>
      </c>
      <c r="H26" s="1104">
        <f t="shared" si="0"/>
        <v>396000</v>
      </c>
      <c r="I26" s="281"/>
    </row>
    <row r="27" spans="1:10" s="209" customFormat="1" ht="22.9" customHeight="1" x14ac:dyDescent="0.3">
      <c r="A27" s="203"/>
      <c r="B27" s="274" t="s">
        <v>191</v>
      </c>
      <c r="C27" s="228">
        <v>4.95</v>
      </c>
      <c r="D27" s="229">
        <v>42545</v>
      </c>
      <c r="E27" s="229">
        <v>45436</v>
      </c>
      <c r="F27" s="230">
        <v>16000000</v>
      </c>
      <c r="G27" s="231">
        <v>17008000</v>
      </c>
      <c r="H27" s="1104">
        <f t="shared" si="0"/>
        <v>792000</v>
      </c>
      <c r="I27" s="281"/>
    </row>
    <row r="28" spans="1:10" s="209" customFormat="1" ht="22.9" customHeight="1" x14ac:dyDescent="0.3">
      <c r="A28" s="203"/>
      <c r="B28" s="274" t="s">
        <v>192</v>
      </c>
      <c r="C28" s="228">
        <v>4.95</v>
      </c>
      <c r="D28" s="229">
        <v>42545</v>
      </c>
      <c r="E28" s="229">
        <v>45436</v>
      </c>
      <c r="F28" s="230">
        <v>17000000</v>
      </c>
      <c r="G28" s="231">
        <v>18054000</v>
      </c>
      <c r="H28" s="1104">
        <f t="shared" si="0"/>
        <v>841500</v>
      </c>
      <c r="I28" s="281"/>
    </row>
    <row r="29" spans="1:10" s="209" customFormat="1" ht="22.9" customHeight="1" x14ac:dyDescent="0.3">
      <c r="A29" s="203"/>
      <c r="B29" s="274" t="s">
        <v>193</v>
      </c>
      <c r="C29" s="228">
        <v>4.95</v>
      </c>
      <c r="D29" s="229">
        <v>42545</v>
      </c>
      <c r="E29" s="229">
        <v>45436</v>
      </c>
      <c r="F29" s="230">
        <v>15217000</v>
      </c>
      <c r="G29" s="231">
        <v>16145237</v>
      </c>
      <c r="H29" s="1104">
        <f t="shared" si="0"/>
        <v>753241.5</v>
      </c>
      <c r="I29" s="281"/>
    </row>
    <row r="30" spans="1:10" s="209" customFormat="1" ht="22.9" customHeight="1" x14ac:dyDescent="0.3">
      <c r="A30" s="203"/>
      <c r="B30" s="274" t="s">
        <v>194</v>
      </c>
      <c r="C30" s="228">
        <v>4.95</v>
      </c>
      <c r="D30" s="229">
        <v>42545</v>
      </c>
      <c r="E30" s="229">
        <v>45436</v>
      </c>
      <c r="F30" s="230">
        <v>8500000</v>
      </c>
      <c r="G30" s="231">
        <v>9048250</v>
      </c>
      <c r="H30" s="1104">
        <f t="shared" si="0"/>
        <v>420750</v>
      </c>
      <c r="I30" s="281"/>
    </row>
    <row r="31" spans="1:10" s="209" customFormat="1" ht="22.9" customHeight="1" x14ac:dyDescent="0.3">
      <c r="A31" s="203"/>
      <c r="B31" s="274" t="s">
        <v>195</v>
      </c>
      <c r="C31" s="228">
        <v>4.95</v>
      </c>
      <c r="D31" s="229">
        <v>42545</v>
      </c>
      <c r="E31" s="229">
        <v>45436</v>
      </c>
      <c r="F31" s="230">
        <v>2483647.42</v>
      </c>
      <c r="G31" s="231">
        <v>2640117.21</v>
      </c>
      <c r="H31" s="1104">
        <f t="shared" si="0"/>
        <v>122940.55</v>
      </c>
      <c r="I31" s="281"/>
    </row>
    <row r="32" spans="1:10" s="209" customFormat="1" ht="22.9" customHeight="1" x14ac:dyDescent="0.3">
      <c r="A32" s="203"/>
      <c r="B32" s="274" t="s">
        <v>196</v>
      </c>
      <c r="C32" s="228">
        <v>4.95</v>
      </c>
      <c r="D32" s="229">
        <v>42573</v>
      </c>
      <c r="E32" s="229">
        <v>45436</v>
      </c>
      <c r="F32" s="230">
        <v>58088009.020000003</v>
      </c>
      <c r="G32" s="231">
        <v>62618874.719999999</v>
      </c>
      <c r="H32" s="1104">
        <f t="shared" si="0"/>
        <v>2875356.45</v>
      </c>
      <c r="I32" s="281"/>
    </row>
    <row r="33" spans="1:11" s="209" customFormat="1" ht="22.9" customHeight="1" x14ac:dyDescent="0.3">
      <c r="A33" s="203"/>
      <c r="B33" s="274" t="s">
        <v>197</v>
      </c>
      <c r="C33" s="228">
        <v>4.95</v>
      </c>
      <c r="D33" s="229">
        <v>42657</v>
      </c>
      <c r="E33" s="229">
        <v>45436</v>
      </c>
      <c r="F33" s="230">
        <v>67065332.82</v>
      </c>
      <c r="G33" s="231">
        <v>73718213.840000004</v>
      </c>
      <c r="H33" s="1104">
        <f t="shared" si="0"/>
        <v>3319733.97</v>
      </c>
      <c r="I33" s="281"/>
    </row>
    <row r="34" spans="1:11" s="209" customFormat="1" ht="22.9" customHeight="1" x14ac:dyDescent="0.3">
      <c r="A34" s="203"/>
      <c r="B34" s="274" t="s">
        <v>198</v>
      </c>
      <c r="C34" s="228">
        <v>4.95</v>
      </c>
      <c r="D34" s="229">
        <v>42811</v>
      </c>
      <c r="E34" s="229">
        <v>45436</v>
      </c>
      <c r="F34" s="230">
        <v>25000000</v>
      </c>
      <c r="G34" s="231">
        <v>27075000</v>
      </c>
      <c r="H34" s="1104">
        <f t="shared" si="0"/>
        <v>1237500</v>
      </c>
      <c r="I34" s="281"/>
    </row>
    <row r="35" spans="1:11" s="209" customFormat="1" ht="22.9" customHeight="1" x14ac:dyDescent="0.3">
      <c r="A35" s="203"/>
      <c r="B35" s="274" t="s">
        <v>199</v>
      </c>
      <c r="C35" s="228">
        <v>4.95</v>
      </c>
      <c r="D35" s="229">
        <v>42811</v>
      </c>
      <c r="E35" s="229">
        <v>45436</v>
      </c>
      <c r="F35" s="230">
        <v>25000000</v>
      </c>
      <c r="G35" s="231">
        <v>27075000</v>
      </c>
      <c r="H35" s="1104">
        <f t="shared" si="0"/>
        <v>1237500</v>
      </c>
      <c r="I35" s="281"/>
    </row>
    <row r="36" spans="1:11" s="209" customFormat="1" ht="22.9" customHeight="1" x14ac:dyDescent="0.3">
      <c r="A36" s="203"/>
      <c r="B36" s="274" t="s">
        <v>200</v>
      </c>
      <c r="C36" s="228">
        <v>4.95</v>
      </c>
      <c r="D36" s="229">
        <v>42811</v>
      </c>
      <c r="E36" s="229">
        <v>45436</v>
      </c>
      <c r="F36" s="230">
        <v>25000000</v>
      </c>
      <c r="G36" s="231">
        <v>27075000</v>
      </c>
      <c r="H36" s="1104">
        <f t="shared" si="0"/>
        <v>1237500</v>
      </c>
      <c r="I36" s="281"/>
    </row>
    <row r="37" spans="1:11" s="209" customFormat="1" ht="22.9" customHeight="1" x14ac:dyDescent="0.3">
      <c r="A37" s="203"/>
      <c r="B37" s="274" t="s">
        <v>201</v>
      </c>
      <c r="C37" s="228">
        <v>4.95</v>
      </c>
      <c r="D37" s="229">
        <v>42811</v>
      </c>
      <c r="E37" s="229">
        <v>45436</v>
      </c>
      <c r="F37" s="230">
        <v>13141676.369999999</v>
      </c>
      <c r="G37" s="231">
        <v>14232435.51</v>
      </c>
      <c r="H37" s="1104">
        <f t="shared" si="0"/>
        <v>650512.98</v>
      </c>
      <c r="I37" s="281"/>
    </row>
    <row r="38" spans="1:11" s="209" customFormat="1" ht="22.9" customHeight="1" x14ac:dyDescent="0.3">
      <c r="A38" s="203"/>
      <c r="B38" s="274" t="s">
        <v>202</v>
      </c>
      <c r="C38" s="228">
        <v>4.95</v>
      </c>
      <c r="D38" s="229">
        <v>42909</v>
      </c>
      <c r="E38" s="229">
        <v>45436</v>
      </c>
      <c r="F38" s="230">
        <v>9850000</v>
      </c>
      <c r="G38" s="231">
        <v>10707935</v>
      </c>
      <c r="H38" s="1104">
        <f t="shared" si="0"/>
        <v>487575</v>
      </c>
      <c r="I38" s="281"/>
    </row>
    <row r="39" spans="1:11" s="209" customFormat="1" ht="22.9" customHeight="1" x14ac:dyDescent="0.3">
      <c r="A39" s="203"/>
      <c r="B39" s="274" t="s">
        <v>203</v>
      </c>
      <c r="C39" s="228">
        <v>4.95</v>
      </c>
      <c r="D39" s="229">
        <v>42909</v>
      </c>
      <c r="E39" s="229">
        <v>45436</v>
      </c>
      <c r="F39" s="230">
        <v>9850000</v>
      </c>
      <c r="G39" s="231">
        <v>10707935</v>
      </c>
      <c r="H39" s="1104">
        <f t="shared" si="0"/>
        <v>487575</v>
      </c>
      <c r="I39" s="281"/>
    </row>
    <row r="40" spans="1:11" s="209" customFormat="1" ht="22.9" customHeight="1" x14ac:dyDescent="0.3">
      <c r="A40" s="203"/>
      <c r="B40" s="274" t="s">
        <v>204</v>
      </c>
      <c r="C40" s="228">
        <v>4.95</v>
      </c>
      <c r="D40" s="229">
        <v>42909</v>
      </c>
      <c r="E40" s="229">
        <v>45436</v>
      </c>
      <c r="F40" s="230">
        <v>9850000</v>
      </c>
      <c r="G40" s="231">
        <v>10707935</v>
      </c>
      <c r="H40" s="1104">
        <f t="shared" si="0"/>
        <v>487575</v>
      </c>
      <c r="I40" s="281"/>
    </row>
    <row r="41" spans="1:11" s="209" customFormat="1" ht="24.75" customHeight="1" x14ac:dyDescent="0.3">
      <c r="A41" s="203"/>
      <c r="B41" s="274" t="s">
        <v>205</v>
      </c>
      <c r="C41" s="228">
        <v>4.95</v>
      </c>
      <c r="D41" s="229">
        <v>42930</v>
      </c>
      <c r="E41" s="229">
        <v>45436</v>
      </c>
      <c r="F41" s="230">
        <v>126969795.33</v>
      </c>
      <c r="G41" s="231">
        <v>138650895.69999999</v>
      </c>
      <c r="H41" s="1104">
        <f t="shared" si="0"/>
        <v>6285004.8700000001</v>
      </c>
      <c r="I41" s="281"/>
    </row>
    <row r="42" spans="1:11" s="209" customFormat="1" ht="21.75" customHeight="1" x14ac:dyDescent="0.3">
      <c r="A42" s="203"/>
      <c r="B42" s="225" t="s">
        <v>206</v>
      </c>
      <c r="C42" s="278"/>
      <c r="D42" s="219"/>
      <c r="E42" s="219"/>
      <c r="F42" s="220">
        <f>SUM(F43:F45)</f>
        <v>121601475.09999999</v>
      </c>
      <c r="G42" s="220">
        <f>SUM(G43:G45)</f>
        <v>120755317.83</v>
      </c>
      <c r="H42" s="277">
        <f>SUM(H17:H41)</f>
        <v>26867187.32</v>
      </c>
      <c r="I42" s="281">
        <f>H42/G16</f>
        <v>4.58E-2</v>
      </c>
    </row>
    <row r="43" spans="1:11" s="209" customFormat="1" ht="31.5" customHeight="1" x14ac:dyDescent="0.3">
      <c r="A43" s="203"/>
      <c r="B43" s="274" t="s">
        <v>207</v>
      </c>
      <c r="C43" s="245">
        <v>3</v>
      </c>
      <c r="D43" s="229">
        <v>43182</v>
      </c>
      <c r="E43" s="229">
        <v>45198</v>
      </c>
      <c r="F43" s="246">
        <v>31616687.73</v>
      </c>
      <c r="G43" s="247">
        <v>31575586.039999999</v>
      </c>
      <c r="H43" s="1104">
        <f t="shared" si="0"/>
        <v>948500.63</v>
      </c>
      <c r="I43" s="281"/>
    </row>
    <row r="44" spans="1:11" s="209" customFormat="1" ht="31.5" customHeight="1" x14ac:dyDescent="0.3">
      <c r="A44" s="203"/>
      <c r="B44" s="274" t="s">
        <v>132</v>
      </c>
      <c r="C44" s="245">
        <v>3</v>
      </c>
      <c r="D44" s="229">
        <v>43245</v>
      </c>
      <c r="E44" s="229">
        <v>45198</v>
      </c>
      <c r="F44" s="246">
        <v>45091834.850000001</v>
      </c>
      <c r="G44" s="247">
        <v>44758155.270000003</v>
      </c>
      <c r="H44" s="1104">
        <f t="shared" si="0"/>
        <v>1352755.05</v>
      </c>
      <c r="I44" s="281"/>
    </row>
    <row r="45" spans="1:11" s="209" customFormat="1" ht="31.5" customHeight="1" x14ac:dyDescent="0.3">
      <c r="A45" s="203"/>
      <c r="B45" s="274" t="s">
        <v>208</v>
      </c>
      <c r="C45" s="245">
        <v>3</v>
      </c>
      <c r="D45" s="229">
        <v>43280</v>
      </c>
      <c r="E45" s="229">
        <v>45198</v>
      </c>
      <c r="F45" s="246">
        <v>44892952.520000003</v>
      </c>
      <c r="G45" s="247">
        <v>44421576.520000003</v>
      </c>
      <c r="H45" s="1104">
        <f t="shared" si="0"/>
        <v>1346788.58</v>
      </c>
      <c r="I45" s="281"/>
    </row>
    <row r="46" spans="1:11" s="209" customFormat="1" ht="40.5" hidden="1" customHeight="1" x14ac:dyDescent="0.3">
      <c r="A46" s="203"/>
      <c r="B46" s="279"/>
      <c r="C46" s="245"/>
      <c r="D46" s="229"/>
      <c r="E46" s="229"/>
      <c r="F46" s="246"/>
      <c r="G46" s="280"/>
      <c r="H46" s="1104">
        <f t="shared" si="0"/>
        <v>0</v>
      </c>
      <c r="I46" s="281"/>
      <c r="J46" s="281"/>
      <c r="K46" s="277"/>
    </row>
    <row r="47" spans="1:11" ht="30" customHeight="1" x14ac:dyDescent="0.3">
      <c r="B47" s="282" t="s">
        <v>139</v>
      </c>
      <c r="C47" s="283"/>
      <c r="D47" s="284"/>
      <c r="E47" s="284"/>
      <c r="F47" s="285">
        <f>SUM(F48)</f>
        <v>11955245.92</v>
      </c>
      <c r="G47" s="285">
        <f>SUM(G48)</f>
        <v>11955245.92</v>
      </c>
      <c r="H47" s="277">
        <f>SUM(H43:H46)</f>
        <v>3648044.26</v>
      </c>
      <c r="I47" s="1099">
        <f>H47/G42</f>
        <v>3.0200000000000001E-2</v>
      </c>
    </row>
    <row r="48" spans="1:11" ht="30" customHeight="1" x14ac:dyDescent="0.3">
      <c r="B48" s="279" t="s">
        <v>209</v>
      </c>
      <c r="C48" s="286">
        <v>3</v>
      </c>
      <c r="D48" s="229">
        <v>43712</v>
      </c>
      <c r="E48" s="229">
        <v>47365</v>
      </c>
      <c r="F48" s="231">
        <v>11955245.92</v>
      </c>
      <c r="G48" s="230">
        <v>11955245.92</v>
      </c>
      <c r="H48" s="1104">
        <f t="shared" si="0"/>
        <v>358657.38</v>
      </c>
      <c r="I48" s="1099">
        <v>0.03</v>
      </c>
    </row>
    <row r="49" spans="2:8" s="207" customFormat="1" ht="27" customHeight="1" x14ac:dyDescent="0.3">
      <c r="B49" s="282" t="s">
        <v>210</v>
      </c>
      <c r="C49" s="283"/>
      <c r="D49" s="284"/>
      <c r="E49" s="284"/>
      <c r="F49" s="285">
        <f>SUM(F50)</f>
        <v>97750</v>
      </c>
      <c r="G49" s="285">
        <f>SUM(G50)</f>
        <v>97750</v>
      </c>
      <c r="H49" s="1104"/>
    </row>
    <row r="50" spans="2:8" s="207" customFormat="1" ht="27" customHeight="1" x14ac:dyDescent="0.35">
      <c r="B50" s="274" t="s">
        <v>211</v>
      </c>
      <c r="C50" s="287"/>
      <c r="D50" s="288"/>
      <c r="E50" s="288"/>
      <c r="F50" s="231">
        <v>97750</v>
      </c>
      <c r="G50" s="231">
        <f>F49</f>
        <v>97750</v>
      </c>
      <c r="H50" s="1104"/>
    </row>
    <row r="51" spans="2:8" s="207" customFormat="1" ht="12.75" customHeight="1" x14ac:dyDescent="0.35">
      <c r="B51" s="259"/>
      <c r="C51" s="289"/>
      <c r="D51" s="289"/>
      <c r="E51" s="289"/>
      <c r="F51" s="260"/>
      <c r="G51" s="290"/>
      <c r="H51" s="1098"/>
    </row>
    <row r="52" spans="2:8" s="207" customFormat="1" x14ac:dyDescent="0.35">
      <c r="B52" s="291"/>
      <c r="C52" s="292"/>
      <c r="D52" s="293"/>
      <c r="E52" s="293"/>
      <c r="F52" s="292"/>
      <c r="G52" s="290"/>
      <c r="H52" s="1098"/>
    </row>
    <row r="53" spans="2:8" s="207" customFormat="1" ht="34.5" customHeight="1" x14ac:dyDescent="0.3">
      <c r="B53" s="1626" t="s">
        <v>212</v>
      </c>
      <c r="C53" s="1626"/>
      <c r="D53" s="1626"/>
      <c r="E53" s="1626" t="s">
        <v>163</v>
      </c>
      <c r="F53" s="1626"/>
      <c r="G53" s="1626"/>
      <c r="H53" s="1098"/>
    </row>
    <row r="54" spans="2:8" s="207" customFormat="1" ht="15" x14ac:dyDescent="0.3">
      <c r="B54" s="1626" t="s">
        <v>213</v>
      </c>
      <c r="C54" s="1626"/>
      <c r="D54" s="1626"/>
      <c r="E54" s="1626" t="s">
        <v>165</v>
      </c>
      <c r="F54" s="1626"/>
      <c r="G54" s="1626"/>
      <c r="H54" s="1098"/>
    </row>
    <row r="55" spans="2:8" s="207" customFormat="1" ht="15" customHeight="1" x14ac:dyDescent="0.3">
      <c r="B55" s="1623" t="s">
        <v>214</v>
      </c>
      <c r="C55" s="1623"/>
      <c r="D55" s="1623"/>
      <c r="E55" s="1623" t="s">
        <v>167</v>
      </c>
      <c r="F55" s="1623"/>
      <c r="G55" s="1623"/>
      <c r="H55" s="1098"/>
    </row>
  </sheetData>
  <mergeCells count="13">
    <mergeCell ref="B55:D55"/>
    <mergeCell ref="E55:G55"/>
    <mergeCell ref="B2:G2"/>
    <mergeCell ref="B3:G3"/>
    <mergeCell ref="B4:G4"/>
    <mergeCell ref="B5:G5"/>
    <mergeCell ref="B6:G6"/>
    <mergeCell ref="B7:G7"/>
    <mergeCell ref="D8:E8"/>
    <mergeCell ref="B53:D53"/>
    <mergeCell ref="E53:G53"/>
    <mergeCell ref="B54:D54"/>
    <mergeCell ref="E54:G54"/>
  </mergeCell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2:H18"/>
  <sheetViews>
    <sheetView zoomScale="140" zoomScaleNormal="140" workbookViewId="0">
      <selection activeCell="D5" sqref="D5"/>
    </sheetView>
  </sheetViews>
  <sheetFormatPr baseColWidth="10" defaultRowHeight="12.5" x14ac:dyDescent="0.25"/>
  <cols>
    <col min="1" max="1" width="21.26953125" customWidth="1"/>
    <col min="2" max="2" width="17.81640625" customWidth="1"/>
    <col min="7" max="7" width="13.1796875" customWidth="1"/>
  </cols>
  <sheetData>
    <row r="2" spans="1:8" x14ac:dyDescent="0.25">
      <c r="A2" t="s">
        <v>644</v>
      </c>
    </row>
    <row r="3" spans="1:8" x14ac:dyDescent="0.25">
      <c r="B3" s="1201">
        <v>44440</v>
      </c>
      <c r="C3" s="1201">
        <v>44531</v>
      </c>
      <c r="D3" s="1201">
        <v>44621</v>
      </c>
      <c r="E3" s="1201">
        <v>44713</v>
      </c>
      <c r="F3" s="1201">
        <v>44805</v>
      </c>
      <c r="G3" s="1201" t="s">
        <v>640</v>
      </c>
      <c r="H3" t="s">
        <v>641</v>
      </c>
    </row>
    <row r="4" spans="1:8" x14ac:dyDescent="0.25">
      <c r="A4" t="s">
        <v>646</v>
      </c>
      <c r="B4" s="3">
        <v>155</v>
      </c>
      <c r="C4" s="3">
        <v>150</v>
      </c>
      <c r="D4" s="3">
        <v>67.7</v>
      </c>
      <c r="E4" s="3">
        <v>56.5</v>
      </c>
      <c r="F4" s="3">
        <v>117</v>
      </c>
      <c r="G4">
        <f>SUM(B4:F4)/5</f>
        <v>109.24</v>
      </c>
    </row>
    <row r="5" spans="1:8" x14ac:dyDescent="0.25">
      <c r="A5" t="s">
        <v>639</v>
      </c>
      <c r="B5" s="531">
        <v>2E-3</v>
      </c>
      <c r="C5" s="531">
        <v>2E-3</v>
      </c>
      <c r="D5" s="531">
        <v>2E-3</v>
      </c>
      <c r="E5" s="531">
        <v>2E-3</v>
      </c>
      <c r="F5" s="531">
        <v>1.0999999999999999E-2</v>
      </c>
      <c r="G5" s="531">
        <f>SUM(B5:F5)/5</f>
        <v>3.8E-3</v>
      </c>
    </row>
    <row r="6" spans="1:8" x14ac:dyDescent="0.25">
      <c r="A6" t="s">
        <v>647</v>
      </c>
      <c r="B6" s="3">
        <f>B4*B5</f>
        <v>0.31</v>
      </c>
      <c r="C6" s="3">
        <f t="shared" ref="C6:F6" si="0">C4*C5</f>
        <v>0.3</v>
      </c>
      <c r="D6" s="3">
        <f t="shared" si="0"/>
        <v>0.14000000000000001</v>
      </c>
      <c r="E6" s="3">
        <f t="shared" si="0"/>
        <v>0.11</v>
      </c>
      <c r="F6" s="3">
        <f t="shared" si="0"/>
        <v>1.29</v>
      </c>
      <c r="G6" s="3">
        <f>SUM(B6:F6)/5</f>
        <v>0.43</v>
      </c>
    </row>
    <row r="7" spans="1:8" x14ac:dyDescent="0.25">
      <c r="G7" s="1203">
        <f>G6/G4</f>
        <v>3.9399999999999999E-3</v>
      </c>
    </row>
    <row r="8" spans="1:8" x14ac:dyDescent="0.25">
      <c r="G8" s="1208">
        <f>G7</f>
        <v>4.0000000000000001E-3</v>
      </c>
    </row>
    <row r="11" spans="1:8" x14ac:dyDescent="0.25">
      <c r="B11" s="1201">
        <v>44440</v>
      </c>
      <c r="C11" s="1201">
        <v>44531</v>
      </c>
      <c r="D11" s="1201">
        <v>44621</v>
      </c>
      <c r="E11" s="1201">
        <v>44713</v>
      </c>
      <c r="F11" s="1201">
        <v>44805</v>
      </c>
      <c r="G11" s="1201" t="s">
        <v>640</v>
      </c>
      <c r="H11" t="s">
        <v>641</v>
      </c>
    </row>
    <row r="12" spans="1:8" x14ac:dyDescent="0.25">
      <c r="B12">
        <v>155</v>
      </c>
      <c r="C12">
        <v>150</v>
      </c>
      <c r="D12">
        <v>67.7</v>
      </c>
      <c r="E12">
        <v>56.5</v>
      </c>
      <c r="F12">
        <v>117</v>
      </c>
      <c r="G12">
        <f>SUM(B12:F12)</f>
        <v>546.20000000000005</v>
      </c>
    </row>
    <row r="13" spans="1:8" x14ac:dyDescent="0.25">
      <c r="B13" s="531">
        <v>2E-3</v>
      </c>
      <c r="C13" s="531">
        <v>2E-3</v>
      </c>
      <c r="D13" s="531">
        <v>2E-3</v>
      </c>
      <c r="E13" s="531">
        <v>2E-3</v>
      </c>
      <c r="F13" s="531">
        <f>G7</f>
        <v>3.8999999999999998E-3</v>
      </c>
    </row>
    <row r="14" spans="1:8" x14ac:dyDescent="0.25">
      <c r="B14" s="3">
        <f>B12*B13</f>
        <v>0.31</v>
      </c>
      <c r="C14" s="3">
        <f t="shared" ref="C14" si="1">C12*C13</f>
        <v>0.3</v>
      </c>
      <c r="D14" s="3">
        <f t="shared" ref="D14" si="2">D12*D13</f>
        <v>0.14000000000000001</v>
      </c>
      <c r="E14" s="3">
        <f t="shared" ref="E14" si="3">E12*E13</f>
        <v>0.11</v>
      </c>
      <c r="F14" s="3">
        <f t="shared" ref="F14" si="4">F12*F13</f>
        <v>0.46</v>
      </c>
      <c r="G14">
        <f t="shared" ref="G14" si="5">SUM(B14:F14)</f>
        <v>1.32</v>
      </c>
    </row>
    <row r="15" spans="1:8" x14ac:dyDescent="0.25">
      <c r="G15" s="1203">
        <f>G14/G12</f>
        <v>2.4199999999999998E-3</v>
      </c>
      <c r="H15" t="s">
        <v>642</v>
      </c>
    </row>
    <row r="16" spans="1:8" x14ac:dyDescent="0.25">
      <c r="H16" t="s">
        <v>643</v>
      </c>
    </row>
    <row r="18" spans="8:8" x14ac:dyDescent="0.25">
      <c r="H18" t="s">
        <v>645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V104"/>
  <sheetViews>
    <sheetView workbookViewId="0">
      <selection activeCell="I18" sqref="I18"/>
    </sheetView>
  </sheetViews>
  <sheetFormatPr baseColWidth="10" defaultRowHeight="12.5" x14ac:dyDescent="0.25"/>
  <cols>
    <col min="6" max="6" width="18" customWidth="1"/>
    <col min="8" max="8" width="19.1796875" customWidth="1"/>
    <col min="10" max="10" width="17.54296875" customWidth="1"/>
  </cols>
  <sheetData>
    <row r="1" spans="1:22" ht="15.5" x14ac:dyDescent="0.25">
      <c r="A1" s="331"/>
      <c r="B1" s="546"/>
      <c r="C1" s="547"/>
      <c r="D1" s="547"/>
      <c r="E1" s="547"/>
      <c r="F1" s="547"/>
      <c r="G1" s="334" t="s">
        <v>432</v>
      </c>
      <c r="H1" s="335"/>
      <c r="I1" s="832"/>
      <c r="J1" s="335"/>
      <c r="K1" s="833"/>
      <c r="L1" s="337"/>
      <c r="M1" s="338"/>
      <c r="N1" s="1654"/>
      <c r="O1" s="1654"/>
      <c r="P1" s="1654"/>
      <c r="Q1" s="1654"/>
      <c r="R1" s="1654"/>
      <c r="S1" s="340"/>
      <c r="T1" s="340"/>
      <c r="U1" s="340"/>
      <c r="V1" s="340"/>
    </row>
    <row r="2" spans="1:22" ht="15.5" x14ac:dyDescent="0.25">
      <c r="A2" s="331"/>
      <c r="B2" s="1666" t="s">
        <v>0</v>
      </c>
      <c r="C2" s="1667"/>
      <c r="D2" s="1667"/>
      <c r="E2" s="1667"/>
      <c r="F2" s="1667"/>
      <c r="G2" s="1668"/>
      <c r="H2" s="469"/>
      <c r="I2" s="470"/>
      <c r="J2" s="469"/>
      <c r="K2" s="833"/>
      <c r="L2" s="337"/>
      <c r="M2" s="338"/>
      <c r="N2" s="339"/>
      <c r="O2" s="339"/>
      <c r="P2" s="339"/>
      <c r="Q2" s="339"/>
      <c r="R2" s="339"/>
      <c r="S2" s="340"/>
      <c r="T2" s="340"/>
      <c r="U2" s="340"/>
      <c r="V2" s="340"/>
    </row>
    <row r="3" spans="1:22" ht="15.5" x14ac:dyDescent="0.25">
      <c r="A3" s="341"/>
      <c r="B3" s="1669" t="s">
        <v>433</v>
      </c>
      <c r="C3" s="1670"/>
      <c r="D3" s="1670"/>
      <c r="E3" s="1670"/>
      <c r="F3" s="1670"/>
      <c r="G3" s="1671"/>
      <c r="H3" s="471"/>
      <c r="I3" s="472"/>
      <c r="J3" s="471"/>
      <c r="K3" s="834"/>
      <c r="L3" s="345"/>
      <c r="M3" s="1658"/>
      <c r="N3" s="1658"/>
      <c r="O3" s="1658"/>
      <c r="P3" s="1658"/>
      <c r="Q3" s="1658"/>
      <c r="R3" s="1658"/>
      <c r="S3" s="346"/>
      <c r="T3" s="346"/>
      <c r="U3" s="346"/>
      <c r="V3" s="346"/>
    </row>
    <row r="4" spans="1:22" ht="15.5" x14ac:dyDescent="0.25">
      <c r="A4" s="347"/>
      <c r="B4" s="1669" t="s">
        <v>434</v>
      </c>
      <c r="C4" s="1670"/>
      <c r="D4" s="1670"/>
      <c r="E4" s="1670"/>
      <c r="F4" s="1670"/>
      <c r="G4" s="1671"/>
      <c r="H4" s="471"/>
      <c r="I4" s="472"/>
      <c r="J4" s="471"/>
      <c r="K4" s="835"/>
      <c r="L4" s="350"/>
      <c r="M4" s="1662"/>
      <c r="N4" s="351"/>
      <c r="O4" s="351"/>
      <c r="P4" s="351"/>
      <c r="Q4" s="351"/>
      <c r="R4" s="351"/>
      <c r="S4" s="346"/>
      <c r="T4" s="346"/>
      <c r="U4" s="346"/>
      <c r="V4" s="347"/>
    </row>
    <row r="5" spans="1:22" ht="15.5" x14ac:dyDescent="0.25">
      <c r="A5" s="347"/>
      <c r="B5" s="1672" t="s">
        <v>618</v>
      </c>
      <c r="C5" s="1673"/>
      <c r="D5" s="1673"/>
      <c r="E5" s="1673"/>
      <c r="F5" s="1673"/>
      <c r="G5" s="1674"/>
      <c r="H5" s="469"/>
      <c r="I5" s="470"/>
      <c r="J5" s="469"/>
      <c r="K5" s="835"/>
      <c r="L5" s="350"/>
      <c r="M5" s="1662"/>
      <c r="N5" s="351"/>
      <c r="O5" s="351"/>
      <c r="P5" s="351"/>
      <c r="Q5" s="351"/>
      <c r="R5" s="351"/>
      <c r="S5" s="346"/>
      <c r="T5" s="346"/>
      <c r="U5" s="346"/>
      <c r="V5" s="347"/>
    </row>
    <row r="6" spans="1:22" ht="15.5" x14ac:dyDescent="0.25">
      <c r="A6" s="341"/>
      <c r="B6" s="1649" t="s">
        <v>362</v>
      </c>
      <c r="C6" s="1651" t="s">
        <v>363</v>
      </c>
      <c r="D6" s="1652"/>
      <c r="E6" s="1649" t="s">
        <v>364</v>
      </c>
      <c r="F6" s="1649" t="s">
        <v>365</v>
      </c>
      <c r="G6" s="1649" t="s">
        <v>366</v>
      </c>
      <c r="H6" s="356"/>
      <c r="I6" s="836"/>
      <c r="J6" s="356"/>
      <c r="K6" s="1696" t="s">
        <v>367</v>
      </c>
      <c r="L6" s="350"/>
      <c r="M6" s="1662"/>
      <c r="N6" s="353"/>
      <c r="O6" s="353"/>
      <c r="P6" s="345"/>
      <c r="Q6" s="345"/>
      <c r="R6" s="354"/>
      <c r="S6" s="346"/>
      <c r="T6" s="346"/>
      <c r="U6" s="346"/>
      <c r="V6" s="346"/>
    </row>
    <row r="7" spans="1:22" ht="15.5" x14ac:dyDescent="0.35">
      <c r="A7" s="355"/>
      <c r="B7" s="1649"/>
      <c r="C7" s="1651"/>
      <c r="D7" s="1652"/>
      <c r="E7" s="1649"/>
      <c r="F7" s="1649"/>
      <c r="G7" s="1649"/>
      <c r="H7" s="356"/>
      <c r="I7" s="836"/>
      <c r="J7" s="356"/>
      <c r="K7" s="1697"/>
      <c r="M7" s="1640"/>
      <c r="N7" s="1640"/>
      <c r="O7" s="1640"/>
      <c r="P7" s="1640"/>
      <c r="Q7" s="1640"/>
      <c r="R7" s="1640"/>
    </row>
    <row r="8" spans="1:22" ht="15.5" x14ac:dyDescent="0.35">
      <c r="A8" s="355"/>
      <c r="B8" s="1650"/>
      <c r="C8" s="360" t="s">
        <v>368</v>
      </c>
      <c r="D8" s="361" t="s">
        <v>369</v>
      </c>
      <c r="E8" s="1650"/>
      <c r="F8" s="362" t="s">
        <v>370</v>
      </c>
      <c r="G8" s="1650"/>
      <c r="H8" s="363"/>
      <c r="I8" s="837"/>
      <c r="J8" s="363"/>
      <c r="K8" s="1698"/>
      <c r="M8" s="1640"/>
      <c r="N8" s="1640"/>
      <c r="O8" s="1640"/>
      <c r="P8" s="1640"/>
      <c r="Q8" s="1640"/>
      <c r="R8" s="1640"/>
    </row>
    <row r="9" spans="1:22" ht="15.5" x14ac:dyDescent="0.35">
      <c r="A9" s="355"/>
      <c r="B9" s="1685" t="s">
        <v>435</v>
      </c>
      <c r="C9" s="1686"/>
      <c r="D9" s="1686"/>
      <c r="E9" s="1686"/>
      <c r="F9" s="366">
        <v>2111418427.5799999</v>
      </c>
      <c r="G9" s="367"/>
      <c r="H9" s="368"/>
      <c r="I9" s="525"/>
      <c r="J9" s="368"/>
      <c r="K9" s="838"/>
      <c r="L9" s="353"/>
      <c r="M9" s="354"/>
      <c r="N9" s="338"/>
      <c r="O9" s="338"/>
      <c r="P9" s="338"/>
      <c r="Q9" s="338"/>
      <c r="R9" s="338"/>
      <c r="S9" s="340"/>
    </row>
    <row r="10" spans="1:22" ht="15.5" x14ac:dyDescent="0.25">
      <c r="A10" s="365"/>
      <c r="B10" s="588" t="s">
        <v>219</v>
      </c>
      <c r="C10" s="534"/>
      <c r="D10" s="534"/>
      <c r="E10" s="534"/>
      <c r="F10" s="373">
        <v>931722876.08000004</v>
      </c>
      <c r="G10" s="367"/>
      <c r="H10" s="368"/>
      <c r="I10" s="525"/>
      <c r="J10" s="368"/>
      <c r="K10" s="839"/>
      <c r="L10" s="365"/>
      <c r="M10" s="589"/>
      <c r="N10" s="365"/>
      <c r="O10" s="365"/>
      <c r="P10" s="365"/>
      <c r="Q10" s="365"/>
      <c r="R10" s="353"/>
      <c r="S10" s="353"/>
      <c r="T10" s="353"/>
      <c r="U10" s="353"/>
      <c r="V10" s="353"/>
    </row>
    <row r="11" spans="1:22" ht="15.5" x14ac:dyDescent="0.25">
      <c r="A11" s="365"/>
      <c r="B11" s="590" t="s">
        <v>372</v>
      </c>
      <c r="C11" s="534"/>
      <c r="D11" s="534"/>
      <c r="E11" s="534"/>
      <c r="F11" s="373">
        <v>423116264.45999998</v>
      </c>
      <c r="G11" s="367"/>
      <c r="H11" s="368"/>
      <c r="I11" s="525"/>
      <c r="J11" s="368"/>
      <c r="K11" s="839"/>
      <c r="L11" s="365"/>
      <c r="M11" s="365"/>
      <c r="N11" s="365"/>
      <c r="O11" s="365"/>
      <c r="P11" s="365"/>
      <c r="Q11" s="365"/>
      <c r="R11" s="353"/>
      <c r="S11" s="353"/>
      <c r="T11" s="353"/>
      <c r="U11" s="353"/>
      <c r="V11" s="353"/>
    </row>
    <row r="12" spans="1:22" ht="15.5" x14ac:dyDescent="0.25">
      <c r="A12" s="840"/>
      <c r="B12" s="487">
        <v>150000127101</v>
      </c>
      <c r="C12" s="841">
        <v>44834</v>
      </c>
      <c r="D12" s="842">
        <v>44837</v>
      </c>
      <c r="E12" s="843" t="s">
        <v>562</v>
      </c>
      <c r="F12" s="710"/>
      <c r="G12" s="492">
        <v>1.1000000000000001</v>
      </c>
      <c r="H12" s="493"/>
      <c r="I12" s="494"/>
      <c r="J12" s="493"/>
      <c r="K12" s="844" t="s">
        <v>375</v>
      </c>
      <c r="L12" s="845" t="s">
        <v>563</v>
      </c>
      <c r="M12" s="840"/>
      <c r="N12" s="840"/>
      <c r="O12" s="840"/>
      <c r="P12" s="840"/>
      <c r="Q12" s="840"/>
      <c r="R12" s="846"/>
      <c r="S12" s="846"/>
      <c r="T12" s="846"/>
      <c r="U12" s="846"/>
      <c r="V12" s="846"/>
    </row>
    <row r="13" spans="1:22" ht="15.5" x14ac:dyDescent="0.25">
      <c r="A13" s="840"/>
      <c r="B13" s="487">
        <v>150000127110</v>
      </c>
      <c r="C13" s="841">
        <v>44834</v>
      </c>
      <c r="D13" s="842">
        <v>44837</v>
      </c>
      <c r="E13" s="843" t="s">
        <v>562</v>
      </c>
      <c r="F13" s="710"/>
      <c r="G13" s="492">
        <v>1.1000000000000001</v>
      </c>
      <c r="H13" s="493"/>
      <c r="I13" s="494"/>
      <c r="J13" s="493"/>
      <c r="K13" s="844" t="s">
        <v>375</v>
      </c>
      <c r="L13" s="845" t="s">
        <v>563</v>
      </c>
      <c r="M13" s="840"/>
      <c r="N13" s="840"/>
      <c r="O13" s="840"/>
      <c r="P13" s="840"/>
      <c r="Q13" s="840"/>
      <c r="R13" s="846"/>
      <c r="S13" s="846"/>
      <c r="T13" s="846"/>
      <c r="U13" s="846"/>
      <c r="V13" s="846"/>
    </row>
    <row r="14" spans="1:22" ht="15.5" x14ac:dyDescent="0.25">
      <c r="A14" s="847"/>
      <c r="B14" s="487">
        <v>150000127148</v>
      </c>
      <c r="C14" s="841">
        <v>44834</v>
      </c>
      <c r="D14" s="842">
        <v>44837</v>
      </c>
      <c r="E14" s="843" t="s">
        <v>562</v>
      </c>
      <c r="F14" s="710">
        <v>256000000</v>
      </c>
      <c r="G14" s="492">
        <v>1.1000000000000001</v>
      </c>
      <c r="H14" s="493">
        <f>F14*G14/100</f>
        <v>2816000</v>
      </c>
      <c r="I14" s="494"/>
      <c r="J14" s="493"/>
      <c r="K14" s="848" t="s">
        <v>437</v>
      </c>
      <c r="L14" s="426"/>
      <c r="M14" s="847"/>
      <c r="N14" s="847"/>
      <c r="O14" s="847"/>
      <c r="P14" s="847"/>
      <c r="Q14" s="847"/>
      <c r="R14" s="426"/>
      <c r="S14" s="426"/>
      <c r="T14" s="426"/>
      <c r="U14" s="426"/>
      <c r="V14" s="426"/>
    </row>
    <row r="15" spans="1:22" ht="15.5" x14ac:dyDescent="0.25">
      <c r="A15" s="365"/>
      <c r="B15" s="511">
        <v>110000053315</v>
      </c>
      <c r="C15" s="849">
        <v>42916</v>
      </c>
      <c r="D15" s="849">
        <v>45838</v>
      </c>
      <c r="E15" s="516" t="s">
        <v>383</v>
      </c>
      <c r="F15" s="521">
        <v>130615601.88</v>
      </c>
      <c r="G15" s="502">
        <v>3.25</v>
      </c>
      <c r="H15" s="493">
        <f t="shared" ref="H15:H38" si="0">F15*G15/100</f>
        <v>4245007.0599999996</v>
      </c>
      <c r="I15" s="503"/>
      <c r="J15" s="504"/>
      <c r="K15" s="850" t="s">
        <v>375</v>
      </c>
      <c r="L15" s="365" t="s">
        <v>397</v>
      </c>
      <c r="M15" s="365"/>
      <c r="N15" s="599"/>
      <c r="O15" s="370"/>
      <c r="P15" s="370"/>
      <c r="Q15" s="370"/>
      <c r="R15" s="374"/>
      <c r="S15" s="374"/>
      <c r="T15" s="374"/>
      <c r="U15" s="374"/>
      <c r="V15" s="374"/>
    </row>
    <row r="16" spans="1:22" ht="15.5" x14ac:dyDescent="0.25">
      <c r="A16" s="365"/>
      <c r="B16" s="414">
        <v>110000058581</v>
      </c>
      <c r="C16" s="408" t="s">
        <v>398</v>
      </c>
      <c r="D16" s="408" t="s">
        <v>399</v>
      </c>
      <c r="E16" s="408" t="s">
        <v>383</v>
      </c>
      <c r="F16" s="521">
        <v>36500662.579999998</v>
      </c>
      <c r="G16" s="404">
        <v>3.3</v>
      </c>
      <c r="H16" s="493">
        <f t="shared" si="0"/>
        <v>1204521.8700000001</v>
      </c>
      <c r="I16" s="496"/>
      <c r="J16" s="497"/>
      <c r="K16" s="850" t="s">
        <v>375</v>
      </c>
      <c r="L16" s="365" t="s">
        <v>400</v>
      </c>
      <c r="M16" s="365"/>
      <c r="N16" s="365"/>
      <c r="O16" s="365"/>
      <c r="P16" s="365"/>
      <c r="Q16" s="365"/>
      <c r="R16" s="353"/>
      <c r="S16" s="353"/>
      <c r="T16" s="353"/>
      <c r="U16" s="353"/>
      <c r="V16" s="353"/>
    </row>
    <row r="17" spans="1:22" ht="15.5" x14ac:dyDescent="0.25">
      <c r="A17" s="365"/>
      <c r="B17" s="600" t="s">
        <v>401</v>
      </c>
      <c r="C17" s="423"/>
      <c r="D17" s="423"/>
      <c r="E17" s="407"/>
      <c r="F17" s="601">
        <v>351106611.62</v>
      </c>
      <c r="G17" s="602"/>
      <c r="H17" s="493">
        <f>SUM(H14:H16)</f>
        <v>8265528.9299999997</v>
      </c>
      <c r="I17" s="852">
        <f>H17/J17</f>
        <v>1.95E-2</v>
      </c>
      <c r="J17" s="368">
        <f>F11</f>
        <v>423116264.45999998</v>
      </c>
      <c r="K17" s="839"/>
      <c r="L17" s="365"/>
      <c r="M17" s="365"/>
      <c r="N17" s="365"/>
      <c r="O17" s="365"/>
      <c r="P17" s="365"/>
      <c r="Q17" s="365"/>
      <c r="R17" s="353"/>
      <c r="S17" s="353"/>
      <c r="T17" s="353"/>
      <c r="U17" s="353"/>
      <c r="V17" s="353"/>
    </row>
    <row r="18" spans="1:22" ht="15.5" x14ac:dyDescent="0.25">
      <c r="A18" s="392"/>
      <c r="B18" s="415" t="s">
        <v>441</v>
      </c>
      <c r="C18" s="853">
        <v>42431</v>
      </c>
      <c r="D18" s="853">
        <v>44986</v>
      </c>
      <c r="E18" s="408" t="s">
        <v>381</v>
      </c>
      <c r="F18" s="854">
        <v>15237563.42</v>
      </c>
      <c r="G18" s="404">
        <v>4.8125</v>
      </c>
      <c r="H18" s="493">
        <f t="shared" si="0"/>
        <v>733307.74</v>
      </c>
      <c r="I18" s="496"/>
      <c r="J18" s="497"/>
      <c r="K18" s="850" t="s">
        <v>375</v>
      </c>
      <c r="L18" s="392" t="s">
        <v>18</v>
      </c>
      <c r="M18" s="392"/>
      <c r="N18" s="392"/>
      <c r="O18" s="392"/>
      <c r="P18" s="392"/>
      <c r="Q18" s="392"/>
      <c r="R18" s="393"/>
      <c r="S18" s="393"/>
      <c r="T18" s="393"/>
      <c r="U18" s="393"/>
      <c r="V18" s="393"/>
    </row>
    <row r="19" spans="1:22" ht="15.5" x14ac:dyDescent="0.25">
      <c r="A19" s="392"/>
      <c r="B19" s="511" t="s">
        <v>442</v>
      </c>
      <c r="C19" s="849">
        <v>42599</v>
      </c>
      <c r="D19" s="849">
        <v>45155</v>
      </c>
      <c r="E19" s="516" t="s">
        <v>381</v>
      </c>
      <c r="F19" s="521">
        <v>10275434.09</v>
      </c>
      <c r="G19" s="412">
        <v>4.8</v>
      </c>
      <c r="H19" s="493">
        <f t="shared" si="0"/>
        <v>493220.84</v>
      </c>
      <c r="I19" s="522"/>
      <c r="J19" s="523"/>
      <c r="K19" s="850" t="s">
        <v>375</v>
      </c>
      <c r="L19" s="392"/>
      <c r="M19" s="392"/>
      <c r="N19" s="386"/>
      <c r="O19" s="386"/>
      <c r="P19" s="386"/>
      <c r="Q19" s="386"/>
      <c r="R19" s="604"/>
      <c r="S19" s="604"/>
      <c r="T19" s="604"/>
      <c r="U19" s="604"/>
      <c r="V19" s="604"/>
    </row>
    <row r="20" spans="1:22" ht="15.5" x14ac:dyDescent="0.25">
      <c r="A20" s="579"/>
      <c r="B20" s="415" t="s">
        <v>443</v>
      </c>
      <c r="C20" s="853">
        <v>42250</v>
      </c>
      <c r="D20" s="853">
        <v>45170</v>
      </c>
      <c r="E20" s="408" t="s">
        <v>383</v>
      </c>
      <c r="F20" s="854">
        <v>41978090.93</v>
      </c>
      <c r="G20" s="404">
        <v>4.875</v>
      </c>
      <c r="H20" s="493">
        <f t="shared" si="0"/>
        <v>2046431.93</v>
      </c>
      <c r="I20" s="496"/>
      <c r="J20" s="497" t="s">
        <v>637</v>
      </c>
      <c r="K20" s="850" t="s">
        <v>375</v>
      </c>
      <c r="L20" s="392"/>
      <c r="M20" s="605"/>
      <c r="N20" s="579"/>
      <c r="O20" s="579"/>
      <c r="P20" s="579"/>
      <c r="Q20" s="579"/>
      <c r="R20" s="581"/>
      <c r="S20" s="581"/>
      <c r="T20" s="581"/>
      <c r="U20" s="581"/>
      <c r="V20" s="581"/>
    </row>
    <row r="21" spans="1:22" ht="15.5" x14ac:dyDescent="0.25">
      <c r="A21" s="392"/>
      <c r="B21" s="415" t="s">
        <v>445</v>
      </c>
      <c r="C21" s="853">
        <v>42277</v>
      </c>
      <c r="D21" s="853">
        <v>45197</v>
      </c>
      <c r="E21" s="408" t="s">
        <v>383</v>
      </c>
      <c r="F21" s="854">
        <v>11110167.27</v>
      </c>
      <c r="G21" s="404">
        <v>4.9000000000000004</v>
      </c>
      <c r="H21" s="493">
        <f t="shared" si="0"/>
        <v>544398.19999999995</v>
      </c>
      <c r="I21" s="496"/>
      <c r="J21" s="497"/>
      <c r="K21" s="850" t="s">
        <v>375</v>
      </c>
      <c r="L21" s="392"/>
      <c r="M21" s="392"/>
      <c r="N21" s="392"/>
      <c r="O21" s="392"/>
      <c r="P21" s="392"/>
      <c r="Q21" s="392"/>
      <c r="R21" s="393"/>
      <c r="S21" s="393"/>
      <c r="T21" s="393"/>
      <c r="U21" s="393"/>
      <c r="V21" s="393"/>
    </row>
    <row r="22" spans="1:22" ht="15.5" x14ac:dyDescent="0.25">
      <c r="A22" s="579"/>
      <c r="B22" s="511" t="s">
        <v>446</v>
      </c>
      <c r="C22" s="849">
        <v>43340</v>
      </c>
      <c r="D22" s="516">
        <v>45530</v>
      </c>
      <c r="E22" s="516" t="s">
        <v>379</v>
      </c>
      <c r="F22" s="521">
        <v>8254649.3200000003</v>
      </c>
      <c r="G22" s="412">
        <v>4.875</v>
      </c>
      <c r="H22" s="493">
        <f t="shared" si="0"/>
        <v>402414.15</v>
      </c>
      <c r="I22" s="522"/>
      <c r="J22" s="523"/>
      <c r="K22" s="850" t="s">
        <v>375</v>
      </c>
      <c r="L22" s="392" t="s">
        <v>447</v>
      </c>
      <c r="M22" s="579"/>
      <c r="N22" s="579"/>
      <c r="O22" s="579"/>
      <c r="P22" s="579"/>
      <c r="Q22" s="581"/>
      <c r="R22" s="581"/>
      <c r="S22" s="581"/>
      <c r="T22" s="581"/>
      <c r="U22" s="581"/>
      <c r="V22" s="579"/>
    </row>
    <row r="23" spans="1:22" ht="15.5" x14ac:dyDescent="0.25">
      <c r="A23" s="392"/>
      <c r="B23" s="511" t="s">
        <v>448</v>
      </c>
      <c r="C23" s="849">
        <v>43017</v>
      </c>
      <c r="D23" s="516">
        <v>45574</v>
      </c>
      <c r="E23" s="516" t="s">
        <v>381</v>
      </c>
      <c r="F23" s="521">
        <v>11837095.42</v>
      </c>
      <c r="G23" s="404">
        <v>4.5</v>
      </c>
      <c r="H23" s="493">
        <f t="shared" si="0"/>
        <v>532669.29</v>
      </c>
      <c r="I23" s="496"/>
      <c r="J23" s="497"/>
      <c r="K23" s="850" t="s">
        <v>375</v>
      </c>
      <c r="L23" s="392"/>
      <c r="M23" s="392"/>
      <c r="N23" s="386"/>
      <c r="O23" s="386"/>
      <c r="P23" s="386"/>
      <c r="Q23" s="386"/>
      <c r="R23" s="604"/>
      <c r="S23" s="604"/>
      <c r="T23" s="604"/>
      <c r="U23" s="604"/>
      <c r="V23" s="604"/>
    </row>
    <row r="24" spans="1:22" ht="15.5" x14ac:dyDescent="0.25">
      <c r="A24" s="392"/>
      <c r="B24" s="511" t="s">
        <v>449</v>
      </c>
      <c r="C24" s="849">
        <v>43511</v>
      </c>
      <c r="D24" s="516">
        <v>45702</v>
      </c>
      <c r="E24" s="516" t="s">
        <v>379</v>
      </c>
      <c r="F24" s="521">
        <v>40953267.450000003</v>
      </c>
      <c r="G24" s="404">
        <v>5</v>
      </c>
      <c r="H24" s="493">
        <f t="shared" si="0"/>
        <v>2047663.37</v>
      </c>
      <c r="I24" s="496"/>
      <c r="J24" s="497"/>
      <c r="K24" s="850" t="s">
        <v>375</v>
      </c>
      <c r="L24" s="392"/>
      <c r="M24" s="392"/>
      <c r="N24" s="386"/>
      <c r="O24" s="386"/>
      <c r="P24" s="386"/>
      <c r="Q24" s="386"/>
      <c r="R24" s="604"/>
      <c r="S24" s="604"/>
      <c r="T24" s="604"/>
      <c r="U24" s="604"/>
      <c r="V24" s="604"/>
    </row>
    <row r="25" spans="1:22" ht="31" x14ac:dyDescent="0.25">
      <c r="A25" s="579"/>
      <c r="B25" s="606" t="s">
        <v>450</v>
      </c>
      <c r="C25" s="849">
        <v>43434</v>
      </c>
      <c r="D25" s="849">
        <v>45988</v>
      </c>
      <c r="E25" s="516" t="s">
        <v>381</v>
      </c>
      <c r="F25" s="521">
        <v>12660000</v>
      </c>
      <c r="G25" s="412">
        <v>5.125</v>
      </c>
      <c r="H25" s="493">
        <f t="shared" si="0"/>
        <v>648825</v>
      </c>
      <c r="I25" s="522"/>
      <c r="J25" s="523"/>
      <c r="K25" s="850" t="s">
        <v>375</v>
      </c>
      <c r="L25" s="392" t="s">
        <v>451</v>
      </c>
      <c r="M25" s="579"/>
      <c r="N25" s="579"/>
      <c r="O25" s="579"/>
      <c r="P25" s="579"/>
      <c r="Q25" s="579"/>
      <c r="R25" s="581"/>
      <c r="S25" s="581"/>
      <c r="T25" s="581"/>
      <c r="U25" s="581"/>
      <c r="V25" s="581"/>
    </row>
    <row r="26" spans="1:22" ht="15.5" x14ac:dyDescent="0.25">
      <c r="A26" s="579"/>
      <c r="B26" s="511" t="s">
        <v>452</v>
      </c>
      <c r="C26" s="849">
        <v>43452</v>
      </c>
      <c r="D26" s="849">
        <v>46007</v>
      </c>
      <c r="E26" s="516" t="s">
        <v>381</v>
      </c>
      <c r="F26" s="521">
        <v>8065285.2000000002</v>
      </c>
      <c r="G26" s="412">
        <v>5.125</v>
      </c>
      <c r="H26" s="493">
        <f t="shared" si="0"/>
        <v>413345.87</v>
      </c>
      <c r="I26" s="522"/>
      <c r="J26" s="523"/>
      <c r="K26" s="850" t="s">
        <v>375</v>
      </c>
      <c r="L26" s="391" t="s">
        <v>453</v>
      </c>
      <c r="M26" s="579"/>
      <c r="N26" s="579"/>
      <c r="O26" s="579"/>
      <c r="P26" s="579"/>
      <c r="Q26" s="579"/>
      <c r="R26" s="581"/>
      <c r="S26" s="581"/>
      <c r="T26" s="581"/>
      <c r="U26" s="581"/>
      <c r="V26" s="581"/>
    </row>
    <row r="27" spans="1:22" ht="15.5" x14ac:dyDescent="0.25">
      <c r="A27" s="579"/>
      <c r="B27" s="511" t="s">
        <v>454</v>
      </c>
      <c r="C27" s="849">
        <v>43815</v>
      </c>
      <c r="D27" s="849">
        <v>46370</v>
      </c>
      <c r="E27" s="516" t="s">
        <v>381</v>
      </c>
      <c r="F27" s="521">
        <v>4618825.3099999996</v>
      </c>
      <c r="G27" s="412">
        <v>4.25</v>
      </c>
      <c r="H27" s="493">
        <f t="shared" si="0"/>
        <v>196300.08</v>
      </c>
      <c r="I27" s="522"/>
      <c r="J27" s="523"/>
      <c r="K27" s="850" t="s">
        <v>375</v>
      </c>
      <c r="L27" s="608" t="s">
        <v>409</v>
      </c>
      <c r="M27" s="579"/>
      <c r="N27" s="579"/>
      <c r="O27" s="579"/>
      <c r="P27" s="579"/>
      <c r="Q27" s="579"/>
      <c r="R27" s="581"/>
      <c r="S27" s="581"/>
      <c r="T27" s="581"/>
      <c r="U27" s="581"/>
      <c r="V27" s="581"/>
    </row>
    <row r="28" spans="1:22" ht="15.5" x14ac:dyDescent="0.25">
      <c r="A28" s="609"/>
      <c r="B28" s="511" t="s">
        <v>455</v>
      </c>
      <c r="C28" s="849">
        <v>44075</v>
      </c>
      <c r="D28" s="849">
        <v>46629</v>
      </c>
      <c r="E28" s="516" t="s">
        <v>381</v>
      </c>
      <c r="F28" s="521">
        <v>123965.58</v>
      </c>
      <c r="G28" s="412">
        <v>3.53</v>
      </c>
      <c r="H28" s="493">
        <f t="shared" si="0"/>
        <v>4375.9799999999996</v>
      </c>
      <c r="I28" s="522"/>
      <c r="J28" s="523"/>
      <c r="K28" s="850" t="s">
        <v>375</v>
      </c>
      <c r="L28" s="610"/>
      <c r="M28" s="609"/>
      <c r="N28" s="609"/>
      <c r="O28" s="609"/>
      <c r="P28" s="609"/>
      <c r="Q28" s="609"/>
      <c r="R28" s="611"/>
      <c r="S28" s="611"/>
      <c r="T28" s="611"/>
      <c r="U28" s="611"/>
      <c r="V28" s="611"/>
    </row>
    <row r="29" spans="1:22" ht="15.5" x14ac:dyDescent="0.25">
      <c r="A29" s="612"/>
      <c r="B29" s="511" t="s">
        <v>456</v>
      </c>
      <c r="C29" s="849">
        <v>43815</v>
      </c>
      <c r="D29" s="849">
        <v>46735</v>
      </c>
      <c r="E29" s="516" t="s">
        <v>383</v>
      </c>
      <c r="F29" s="521">
        <v>25000000</v>
      </c>
      <c r="G29" s="412">
        <v>4.375</v>
      </c>
      <c r="H29" s="493">
        <f t="shared" si="0"/>
        <v>1093750</v>
      </c>
      <c r="I29" s="522"/>
      <c r="J29" s="523"/>
      <c r="K29" s="850" t="s">
        <v>375</v>
      </c>
      <c r="L29" s="608" t="s">
        <v>409</v>
      </c>
      <c r="M29" s="612"/>
      <c r="N29" s="612"/>
      <c r="O29" s="612"/>
      <c r="P29" s="612"/>
      <c r="Q29" s="612"/>
      <c r="R29" s="613"/>
      <c r="S29" s="613"/>
      <c r="T29" s="613"/>
      <c r="U29" s="613"/>
      <c r="V29" s="613"/>
    </row>
    <row r="30" spans="1:22" ht="15.5" x14ac:dyDescent="0.25">
      <c r="A30" s="855"/>
      <c r="B30" s="730" t="s">
        <v>564</v>
      </c>
      <c r="C30" s="856">
        <v>44799</v>
      </c>
      <c r="D30" s="856">
        <v>46989</v>
      </c>
      <c r="E30" s="724" t="s">
        <v>379</v>
      </c>
      <c r="F30" s="857">
        <v>2165000</v>
      </c>
      <c r="G30" s="561">
        <v>4.125</v>
      </c>
      <c r="H30" s="493">
        <f t="shared" si="0"/>
        <v>89306.25</v>
      </c>
      <c r="I30" s="858"/>
      <c r="J30" s="804"/>
      <c r="K30" s="859" t="s">
        <v>437</v>
      </c>
      <c r="L30" s="860"/>
      <c r="M30" s="855"/>
      <c r="N30" s="855"/>
      <c r="O30" s="855"/>
      <c r="P30" s="855"/>
      <c r="Q30" s="855"/>
      <c r="R30" s="861"/>
      <c r="S30" s="861"/>
      <c r="T30" s="861"/>
      <c r="U30" s="861"/>
      <c r="V30" s="861"/>
    </row>
    <row r="31" spans="1:22" ht="15.5" x14ac:dyDescent="0.25">
      <c r="A31" s="855"/>
      <c r="B31" s="730" t="s">
        <v>565</v>
      </c>
      <c r="C31" s="856">
        <v>44799</v>
      </c>
      <c r="D31" s="856">
        <v>47354</v>
      </c>
      <c r="E31" s="862" t="s">
        <v>381</v>
      </c>
      <c r="F31" s="857">
        <v>2165000</v>
      </c>
      <c r="G31" s="561">
        <v>4.25</v>
      </c>
      <c r="H31" s="493">
        <f t="shared" si="0"/>
        <v>92012.5</v>
      </c>
      <c r="I31" s="858"/>
      <c r="J31" s="804"/>
      <c r="K31" s="859"/>
      <c r="L31" s="860"/>
      <c r="M31" s="855"/>
      <c r="N31" s="855"/>
      <c r="O31" s="855"/>
      <c r="P31" s="855"/>
      <c r="Q31" s="855"/>
      <c r="R31" s="861"/>
      <c r="S31" s="861"/>
      <c r="T31" s="861"/>
      <c r="U31" s="861"/>
      <c r="V31" s="861"/>
    </row>
    <row r="32" spans="1:22" ht="15.5" x14ac:dyDescent="0.25">
      <c r="A32" s="612"/>
      <c r="B32" s="511" t="s">
        <v>457</v>
      </c>
      <c r="C32" s="849">
        <v>44075</v>
      </c>
      <c r="D32" s="849">
        <v>46995</v>
      </c>
      <c r="E32" s="516" t="s">
        <v>383</v>
      </c>
      <c r="F32" s="521">
        <v>50000000</v>
      </c>
      <c r="G32" s="412">
        <v>3.55</v>
      </c>
      <c r="H32" s="493">
        <f t="shared" si="0"/>
        <v>1775000</v>
      </c>
      <c r="I32" s="522"/>
      <c r="J32" s="523"/>
      <c r="K32" s="850" t="s">
        <v>375</v>
      </c>
      <c r="L32" s="608"/>
      <c r="M32" s="612"/>
      <c r="N32" s="612"/>
      <c r="O32" s="612"/>
      <c r="P32" s="612"/>
      <c r="Q32" s="612"/>
      <c r="R32" s="613"/>
      <c r="S32" s="613"/>
      <c r="T32" s="613"/>
      <c r="U32" s="613"/>
      <c r="V32" s="613"/>
    </row>
    <row r="33" spans="1:22" ht="15.5" x14ac:dyDescent="0.25">
      <c r="A33" s="612"/>
      <c r="B33" s="511" t="s">
        <v>458</v>
      </c>
      <c r="C33" s="849">
        <v>44676</v>
      </c>
      <c r="D33" s="849">
        <v>47231</v>
      </c>
      <c r="E33" s="516" t="s">
        <v>381</v>
      </c>
      <c r="F33" s="521">
        <v>30000000</v>
      </c>
      <c r="G33" s="412">
        <v>3.125</v>
      </c>
      <c r="H33" s="493">
        <f t="shared" si="0"/>
        <v>937500</v>
      </c>
      <c r="I33" s="522"/>
      <c r="J33" s="523"/>
      <c r="K33" s="850" t="s">
        <v>437</v>
      </c>
      <c r="L33" s="608" t="s">
        <v>459</v>
      </c>
      <c r="M33" s="612"/>
      <c r="N33" s="612"/>
      <c r="O33" s="612"/>
      <c r="P33" s="612"/>
      <c r="Q33" s="612"/>
      <c r="R33" s="613"/>
      <c r="S33" s="613"/>
      <c r="T33" s="613"/>
      <c r="U33" s="613"/>
      <c r="V33" s="613"/>
    </row>
    <row r="34" spans="1:22" ht="15.5" x14ac:dyDescent="0.25">
      <c r="A34" s="612"/>
      <c r="B34" s="614" t="s">
        <v>460</v>
      </c>
      <c r="C34" s="820">
        <v>44726</v>
      </c>
      <c r="D34" s="820">
        <v>47281</v>
      </c>
      <c r="E34" s="726" t="s">
        <v>381</v>
      </c>
      <c r="F34" s="725">
        <v>21000000</v>
      </c>
      <c r="G34" s="564">
        <v>3.95</v>
      </c>
      <c r="H34" s="493">
        <f t="shared" si="0"/>
        <v>829500</v>
      </c>
      <c r="I34" s="863"/>
      <c r="J34" s="617"/>
      <c r="K34" s="850" t="s">
        <v>437</v>
      </c>
      <c r="L34" s="608"/>
      <c r="M34" s="612"/>
      <c r="N34" s="612"/>
      <c r="O34" s="612"/>
      <c r="P34" s="612"/>
      <c r="Q34" s="612"/>
      <c r="R34" s="613"/>
      <c r="S34" s="613"/>
      <c r="T34" s="613"/>
      <c r="U34" s="613"/>
      <c r="V34" s="613"/>
    </row>
    <row r="35" spans="1:22" ht="15.5" x14ac:dyDescent="0.25">
      <c r="A35" s="612"/>
      <c r="B35" s="511" t="s">
        <v>461</v>
      </c>
      <c r="C35" s="849">
        <v>44260</v>
      </c>
      <c r="D35" s="849">
        <v>47547</v>
      </c>
      <c r="E35" s="516" t="s">
        <v>462</v>
      </c>
      <c r="F35" s="521">
        <v>25000000</v>
      </c>
      <c r="G35" s="412">
        <v>3</v>
      </c>
      <c r="H35" s="493">
        <f t="shared" si="0"/>
        <v>750000</v>
      </c>
      <c r="I35" s="522"/>
      <c r="J35" s="523"/>
      <c r="K35" s="850" t="s">
        <v>437</v>
      </c>
      <c r="L35" s="610" t="s">
        <v>463</v>
      </c>
      <c r="M35" s="612"/>
      <c r="N35" s="612"/>
      <c r="O35" s="612"/>
      <c r="P35" s="612"/>
      <c r="Q35" s="612"/>
      <c r="R35" s="613"/>
      <c r="S35" s="613"/>
      <c r="T35" s="613"/>
      <c r="U35" s="613"/>
      <c r="V35" s="613"/>
    </row>
    <row r="36" spans="1:22" ht="15.5" x14ac:dyDescent="0.25">
      <c r="A36" s="612"/>
      <c r="B36" s="614" t="s">
        <v>464</v>
      </c>
      <c r="C36" s="820">
        <v>44676</v>
      </c>
      <c r="D36" s="820">
        <v>47596</v>
      </c>
      <c r="E36" s="726" t="s">
        <v>383</v>
      </c>
      <c r="F36" s="725">
        <v>20000000</v>
      </c>
      <c r="G36" s="564">
        <v>3.25</v>
      </c>
      <c r="H36" s="493">
        <f t="shared" si="0"/>
        <v>650000</v>
      </c>
      <c r="I36" s="863"/>
      <c r="J36" s="617"/>
      <c r="K36" s="850" t="s">
        <v>437</v>
      </c>
      <c r="L36" s="608" t="s">
        <v>459</v>
      </c>
      <c r="M36" s="612"/>
      <c r="N36" s="612"/>
      <c r="O36" s="612"/>
      <c r="P36" s="612"/>
      <c r="Q36" s="612"/>
      <c r="R36" s="613"/>
      <c r="S36" s="613"/>
      <c r="T36" s="613"/>
      <c r="U36" s="613"/>
      <c r="V36" s="613"/>
    </row>
    <row r="37" spans="1:22" ht="15.5" x14ac:dyDescent="0.25">
      <c r="A37" s="855"/>
      <c r="B37" s="730" t="s">
        <v>566</v>
      </c>
      <c r="C37" s="856">
        <v>44799</v>
      </c>
      <c r="D37" s="856">
        <v>47721</v>
      </c>
      <c r="E37" s="724" t="s">
        <v>383</v>
      </c>
      <c r="F37" s="857">
        <v>2162267.63</v>
      </c>
      <c r="G37" s="561">
        <v>4.5</v>
      </c>
      <c r="H37" s="493">
        <f t="shared" si="0"/>
        <v>97302.04</v>
      </c>
      <c r="I37" s="858"/>
      <c r="J37" s="804"/>
      <c r="K37" s="850" t="s">
        <v>437</v>
      </c>
      <c r="L37" s="860"/>
      <c r="M37" s="855"/>
      <c r="N37" s="855"/>
      <c r="O37" s="855"/>
      <c r="P37" s="855"/>
      <c r="Q37" s="855"/>
      <c r="R37" s="861"/>
      <c r="S37" s="861"/>
      <c r="T37" s="861"/>
      <c r="U37" s="861"/>
      <c r="V37" s="861"/>
    </row>
    <row r="38" spans="1:22" ht="15.5" x14ac:dyDescent="0.25">
      <c r="A38" s="609"/>
      <c r="B38" s="614" t="s">
        <v>465</v>
      </c>
      <c r="C38" s="820">
        <v>44676</v>
      </c>
      <c r="D38" s="820">
        <v>47961</v>
      </c>
      <c r="E38" s="726" t="s">
        <v>462</v>
      </c>
      <c r="F38" s="725">
        <v>8500000</v>
      </c>
      <c r="G38" s="564">
        <v>3.375</v>
      </c>
      <c r="H38" s="493">
        <f t="shared" si="0"/>
        <v>286875</v>
      </c>
      <c r="I38" s="863"/>
      <c r="J38" s="617"/>
      <c r="K38" s="850" t="s">
        <v>437</v>
      </c>
      <c r="L38" s="610" t="s">
        <v>459</v>
      </c>
      <c r="M38" s="609"/>
      <c r="N38" s="609"/>
      <c r="O38" s="609"/>
      <c r="P38" s="609"/>
      <c r="Q38" s="609"/>
      <c r="R38" s="611"/>
      <c r="S38" s="611"/>
      <c r="T38" s="611"/>
      <c r="U38" s="611"/>
      <c r="V38" s="611"/>
    </row>
    <row r="39" spans="1:22" ht="15.5" x14ac:dyDescent="0.25">
      <c r="A39" s="365"/>
      <c r="B39" s="639" t="s">
        <v>423</v>
      </c>
      <c r="C39" s="528"/>
      <c r="D39" s="528"/>
      <c r="E39" s="534"/>
      <c r="F39" s="373">
        <v>63000000</v>
      </c>
      <c r="G39" s="367"/>
      <c r="H39" s="851">
        <v>14664198.24</v>
      </c>
      <c r="I39" s="852">
        <f>H39/F17</f>
        <v>4.1799999999999997E-2</v>
      </c>
      <c r="J39" s="368"/>
      <c r="K39" s="839"/>
      <c r="L39" s="365"/>
      <c r="M39" s="365"/>
      <c r="N39" s="365"/>
      <c r="O39" s="365"/>
      <c r="P39" s="365"/>
      <c r="Q39" s="365"/>
      <c r="R39" s="353"/>
      <c r="S39" s="353"/>
      <c r="T39" s="353"/>
      <c r="U39" s="353"/>
      <c r="V39" s="353"/>
    </row>
    <row r="40" spans="1:22" ht="15.5" x14ac:dyDescent="0.25">
      <c r="A40" s="519"/>
      <c r="B40" s="864">
        <v>50401000670</v>
      </c>
      <c r="C40" s="408">
        <v>44802</v>
      </c>
      <c r="D40" s="408">
        <v>46262</v>
      </c>
      <c r="E40" s="622" t="s">
        <v>408</v>
      </c>
      <c r="F40" s="854">
        <v>31500000</v>
      </c>
      <c r="G40" s="404">
        <v>4.7</v>
      </c>
      <c r="H40" s="493">
        <v>1480500</v>
      </c>
      <c r="I40" s="496"/>
      <c r="J40" s="497"/>
      <c r="K40" s="850" t="s">
        <v>437</v>
      </c>
      <c r="L40" s="365"/>
      <c r="M40" s="365"/>
      <c r="N40" s="365"/>
      <c r="O40" s="365"/>
      <c r="P40" s="365"/>
      <c r="Q40" s="365"/>
      <c r="R40" s="353"/>
      <c r="S40" s="353"/>
      <c r="T40" s="353"/>
      <c r="U40" s="353"/>
      <c r="V40" s="353"/>
    </row>
    <row r="41" spans="1:22" ht="15.5" x14ac:dyDescent="0.25">
      <c r="A41" s="519"/>
      <c r="B41" s="864">
        <v>50401000686</v>
      </c>
      <c r="C41" s="408">
        <v>44802</v>
      </c>
      <c r="D41" s="408">
        <v>46627</v>
      </c>
      <c r="E41" s="622" t="s">
        <v>376</v>
      </c>
      <c r="F41" s="854">
        <v>31500000</v>
      </c>
      <c r="G41" s="404">
        <v>4.8</v>
      </c>
      <c r="H41" s="493">
        <v>1512000</v>
      </c>
      <c r="I41" s="496"/>
      <c r="J41" s="497"/>
      <c r="K41" s="850" t="s">
        <v>437</v>
      </c>
      <c r="L41" s="365"/>
      <c r="M41" s="365"/>
      <c r="N41" s="365"/>
      <c r="O41" s="365"/>
      <c r="P41" s="365"/>
      <c r="Q41" s="365"/>
      <c r="R41" s="353"/>
      <c r="S41" s="353"/>
      <c r="T41" s="353"/>
      <c r="U41" s="353"/>
      <c r="V41" s="353"/>
    </row>
    <row r="42" spans="1:22" ht="15.5" x14ac:dyDescent="0.25">
      <c r="A42" s="365"/>
      <c r="B42" s="639" t="s">
        <v>567</v>
      </c>
      <c r="C42" s="528"/>
      <c r="D42" s="528"/>
      <c r="E42" s="534"/>
      <c r="F42" s="373">
        <v>63000000</v>
      </c>
      <c r="G42" s="367"/>
      <c r="H42" s="493"/>
      <c r="I42" s="525"/>
      <c r="J42" s="368"/>
      <c r="K42" s="839"/>
      <c r="L42" s="365"/>
      <c r="M42" s="365"/>
      <c r="N42" s="365"/>
      <c r="O42" s="365"/>
      <c r="P42" s="365"/>
      <c r="Q42" s="365"/>
      <c r="R42" s="353"/>
      <c r="S42" s="353"/>
      <c r="T42" s="353"/>
      <c r="U42" s="353"/>
      <c r="V42" s="353"/>
    </row>
    <row r="43" spans="1:22" ht="15.5" x14ac:dyDescent="0.25">
      <c r="A43" s="519"/>
      <c r="B43" s="511">
        <v>130020000610160</v>
      </c>
      <c r="C43" s="849">
        <v>44803</v>
      </c>
      <c r="D43" s="849">
        <v>45898</v>
      </c>
      <c r="E43" s="516" t="s">
        <v>477</v>
      </c>
      <c r="F43" s="521">
        <v>21000000</v>
      </c>
      <c r="G43" s="865">
        <v>4.0999999999999996</v>
      </c>
      <c r="H43" s="493">
        <v>861000</v>
      </c>
      <c r="I43" s="866"/>
      <c r="J43" s="867"/>
      <c r="K43" s="850" t="s">
        <v>437</v>
      </c>
      <c r="L43" s="365"/>
      <c r="M43" s="365"/>
      <c r="N43" s="365"/>
      <c r="O43" s="365"/>
      <c r="P43" s="365"/>
      <c r="Q43" s="365"/>
      <c r="R43" s="353"/>
      <c r="S43" s="353"/>
      <c r="T43" s="353"/>
      <c r="U43" s="353"/>
      <c r="V43" s="353"/>
    </row>
    <row r="44" spans="1:22" ht="15.5" x14ac:dyDescent="0.25">
      <c r="A44" s="519"/>
      <c r="B44" s="511">
        <v>130020000610112</v>
      </c>
      <c r="C44" s="849">
        <v>44803</v>
      </c>
      <c r="D44" s="849">
        <v>46265</v>
      </c>
      <c r="E44" s="516" t="s">
        <v>408</v>
      </c>
      <c r="F44" s="521">
        <v>21000000</v>
      </c>
      <c r="G44" s="865">
        <v>4.5</v>
      </c>
      <c r="H44" s="493">
        <v>945000</v>
      </c>
      <c r="I44" s="866"/>
      <c r="J44" s="867"/>
      <c r="K44" s="850" t="s">
        <v>437</v>
      </c>
      <c r="L44" s="365"/>
      <c r="M44" s="365"/>
      <c r="N44" s="365"/>
      <c r="O44" s="365"/>
      <c r="P44" s="365"/>
      <c r="Q44" s="365"/>
      <c r="R44" s="353"/>
      <c r="S44" s="353"/>
      <c r="T44" s="353"/>
      <c r="U44" s="353"/>
      <c r="V44" s="353"/>
    </row>
    <row r="45" spans="1:22" ht="15.5" x14ac:dyDescent="0.25">
      <c r="A45" s="519"/>
      <c r="B45" s="511">
        <v>130020000610110</v>
      </c>
      <c r="C45" s="849">
        <v>44803</v>
      </c>
      <c r="D45" s="849">
        <v>46629</v>
      </c>
      <c r="E45" s="516" t="s">
        <v>376</v>
      </c>
      <c r="F45" s="521">
        <v>21000000</v>
      </c>
      <c r="G45" s="865">
        <v>5</v>
      </c>
      <c r="H45" s="493">
        <v>1050000</v>
      </c>
      <c r="I45" s="866"/>
      <c r="J45" s="867"/>
      <c r="K45" s="850" t="s">
        <v>437</v>
      </c>
      <c r="L45" s="365"/>
      <c r="M45" s="365"/>
      <c r="N45" s="365"/>
      <c r="O45" s="365"/>
      <c r="P45" s="365"/>
      <c r="Q45" s="365"/>
      <c r="R45" s="353"/>
      <c r="S45" s="353"/>
      <c r="T45" s="353"/>
      <c r="U45" s="353"/>
      <c r="V45" s="353"/>
    </row>
    <row r="46" spans="1:22" ht="15.5" x14ac:dyDescent="0.25">
      <c r="A46" s="519"/>
      <c r="B46" s="639" t="s">
        <v>568</v>
      </c>
      <c r="C46" s="528"/>
      <c r="D46" s="528"/>
      <c r="E46" s="534"/>
      <c r="F46" s="373">
        <v>31500000</v>
      </c>
      <c r="G46" s="367"/>
      <c r="H46" s="493"/>
      <c r="I46" s="525"/>
      <c r="J46" s="368"/>
      <c r="K46" s="839"/>
      <c r="L46" s="365"/>
      <c r="M46" s="365"/>
      <c r="N46" s="365"/>
      <c r="O46" s="365"/>
      <c r="P46" s="365"/>
      <c r="Q46" s="365"/>
      <c r="R46" s="353"/>
      <c r="S46" s="353"/>
      <c r="T46" s="353"/>
      <c r="U46" s="353"/>
      <c r="V46" s="353"/>
    </row>
    <row r="47" spans="1:22" ht="15.5" x14ac:dyDescent="0.25">
      <c r="A47" s="519"/>
      <c r="B47" s="414">
        <v>258906338</v>
      </c>
      <c r="C47" s="408">
        <v>44777</v>
      </c>
      <c r="D47" s="408">
        <v>45873</v>
      </c>
      <c r="E47" s="408" t="s">
        <v>381</v>
      </c>
      <c r="F47" s="854">
        <v>31500000</v>
      </c>
      <c r="G47" s="404">
        <v>5.25</v>
      </c>
      <c r="H47" s="493">
        <v>1653750</v>
      </c>
      <c r="I47" s="496"/>
      <c r="J47" s="497"/>
      <c r="K47" s="850" t="s">
        <v>375</v>
      </c>
      <c r="L47" s="365"/>
      <c r="M47" s="365"/>
      <c r="N47" s="365"/>
      <c r="O47" s="365"/>
      <c r="P47" s="365"/>
      <c r="Q47" s="365"/>
      <c r="R47" s="353"/>
      <c r="S47" s="353"/>
      <c r="T47" s="353"/>
      <c r="U47" s="353"/>
      <c r="V47" s="353"/>
    </row>
    <row r="48" spans="1:22" ht="15.5" x14ac:dyDescent="0.25">
      <c r="A48" s="365"/>
      <c r="B48" s="588" t="s">
        <v>284</v>
      </c>
      <c r="C48" s="534"/>
      <c r="D48" s="534"/>
      <c r="E48" s="534"/>
      <c r="F48" s="373">
        <v>1179695551.5</v>
      </c>
      <c r="G48" s="367"/>
      <c r="H48" s="851">
        <v>7502250</v>
      </c>
      <c r="I48" s="852">
        <v>4.7600000000000003E-2</v>
      </c>
      <c r="J48" s="368">
        <v>157500000</v>
      </c>
      <c r="K48" s="839"/>
      <c r="L48" s="365"/>
      <c r="M48" s="589"/>
      <c r="N48" s="365"/>
      <c r="O48" s="365"/>
      <c r="P48" s="365"/>
      <c r="Q48" s="365"/>
      <c r="R48" s="353"/>
      <c r="S48" s="353"/>
      <c r="T48" s="353"/>
      <c r="U48" s="353"/>
      <c r="V48" s="353"/>
    </row>
    <row r="49" spans="1:22" ht="15.5" x14ac:dyDescent="0.25">
      <c r="A49" s="365"/>
      <c r="B49" s="620" t="s">
        <v>372</v>
      </c>
      <c r="C49" s="534"/>
      <c r="D49" s="534"/>
      <c r="E49" s="423"/>
      <c r="F49" s="621">
        <v>233651365.22</v>
      </c>
      <c r="G49" s="425"/>
      <c r="H49" s="493"/>
      <c r="I49" s="525"/>
      <c r="J49" s="368">
        <v>157500000</v>
      </c>
      <c r="K49" s="839"/>
      <c r="L49" s="365"/>
      <c r="M49" s="365"/>
      <c r="N49" s="370"/>
      <c r="O49" s="370"/>
      <c r="P49" s="370"/>
      <c r="Q49" s="370"/>
      <c r="R49" s="374"/>
      <c r="S49" s="374"/>
      <c r="T49" s="374"/>
      <c r="U49" s="374"/>
      <c r="V49" s="374"/>
    </row>
    <row r="50" spans="1:22" ht="15.5" x14ac:dyDescent="0.25">
      <c r="A50" s="840"/>
      <c r="B50" s="487">
        <v>150000127101</v>
      </c>
      <c r="C50" s="841">
        <v>44834</v>
      </c>
      <c r="D50" s="842">
        <v>44837</v>
      </c>
      <c r="E50" s="843" t="s">
        <v>562</v>
      </c>
      <c r="F50" s="710"/>
      <c r="G50" s="492">
        <v>1.1000000000000001</v>
      </c>
      <c r="H50" s="493">
        <v>0</v>
      </c>
      <c r="I50" s="494"/>
      <c r="J50" s="493"/>
      <c r="K50" s="868" t="s">
        <v>375</v>
      </c>
      <c r="L50" s="845" t="s">
        <v>563</v>
      </c>
      <c r="M50" s="840"/>
      <c r="N50" s="840"/>
      <c r="O50" s="840"/>
      <c r="P50" s="840"/>
      <c r="Q50" s="840"/>
      <c r="R50" s="846"/>
      <c r="S50" s="846"/>
      <c r="T50" s="846"/>
      <c r="U50" s="846"/>
      <c r="V50" s="846"/>
    </row>
    <row r="51" spans="1:22" ht="15.5" x14ac:dyDescent="0.25">
      <c r="A51" s="840"/>
      <c r="B51" s="487">
        <v>150000127110</v>
      </c>
      <c r="C51" s="841">
        <v>44834</v>
      </c>
      <c r="D51" s="842">
        <v>44837</v>
      </c>
      <c r="E51" s="843" t="s">
        <v>562</v>
      </c>
      <c r="F51" s="710"/>
      <c r="G51" s="492">
        <v>1.1000000000000001</v>
      </c>
      <c r="H51" s="493">
        <v>0</v>
      </c>
      <c r="I51" s="494"/>
      <c r="J51" s="493"/>
      <c r="K51" s="868" t="s">
        <v>375</v>
      </c>
      <c r="L51" s="845" t="s">
        <v>563</v>
      </c>
      <c r="M51" s="840"/>
      <c r="N51" s="840"/>
      <c r="O51" s="840"/>
      <c r="P51" s="840"/>
      <c r="Q51" s="840"/>
      <c r="R51" s="846"/>
      <c r="S51" s="846"/>
      <c r="T51" s="846"/>
      <c r="U51" s="846"/>
      <c r="V51" s="846"/>
    </row>
    <row r="52" spans="1:22" ht="15.5" x14ac:dyDescent="0.25">
      <c r="A52" s="840"/>
      <c r="B52" s="487">
        <v>150000127148</v>
      </c>
      <c r="C52" s="841">
        <v>44834</v>
      </c>
      <c r="D52" s="842">
        <v>44837</v>
      </c>
      <c r="E52" s="843" t="s">
        <v>562</v>
      </c>
      <c r="F52" s="710"/>
      <c r="G52" s="492">
        <v>1.1000000000000001</v>
      </c>
      <c r="H52" s="493">
        <v>0</v>
      </c>
      <c r="I52" s="494"/>
      <c r="J52" s="493"/>
      <c r="K52" s="868" t="s">
        <v>437</v>
      </c>
      <c r="L52" s="869" t="s">
        <v>563</v>
      </c>
      <c r="M52" s="840"/>
      <c r="N52" s="840"/>
      <c r="O52" s="840"/>
      <c r="P52" s="840"/>
      <c r="Q52" s="840"/>
      <c r="R52" s="846"/>
      <c r="S52" s="846"/>
      <c r="T52" s="846"/>
      <c r="U52" s="846"/>
      <c r="V52" s="846"/>
    </row>
    <row r="53" spans="1:22" ht="15.5" x14ac:dyDescent="0.25">
      <c r="A53" s="520"/>
      <c r="B53" s="399">
        <v>110000058124</v>
      </c>
      <c r="C53" s="516">
        <v>43150</v>
      </c>
      <c r="D53" s="516">
        <v>45707</v>
      </c>
      <c r="E53" s="516" t="s">
        <v>381</v>
      </c>
      <c r="F53" s="521">
        <v>19953269.760000002</v>
      </c>
      <c r="G53" s="412">
        <v>3.15</v>
      </c>
      <c r="H53" s="493">
        <v>628528</v>
      </c>
      <c r="I53" s="522"/>
      <c r="J53" s="523"/>
      <c r="K53" s="850" t="s">
        <v>375</v>
      </c>
      <c r="L53" s="405" t="s">
        <v>466</v>
      </c>
      <c r="M53" s="520"/>
      <c r="N53" s="520"/>
      <c r="O53" s="520"/>
      <c r="P53" s="520"/>
      <c r="Q53" s="520"/>
      <c r="R53" s="524"/>
      <c r="S53" s="524"/>
      <c r="T53" s="524"/>
      <c r="U53" s="524"/>
      <c r="V53" s="524"/>
    </row>
    <row r="54" spans="1:22" ht="15.5" x14ac:dyDescent="0.25">
      <c r="A54" s="365"/>
      <c r="B54" s="511">
        <v>110000053342</v>
      </c>
      <c r="C54" s="408">
        <v>42916</v>
      </c>
      <c r="D54" s="408">
        <v>45838</v>
      </c>
      <c r="E54" s="516" t="s">
        <v>383</v>
      </c>
      <c r="F54" s="521">
        <v>144492578.03999999</v>
      </c>
      <c r="G54" s="502">
        <v>3.25</v>
      </c>
      <c r="H54" s="493">
        <v>4696008.79</v>
      </c>
      <c r="I54" s="503"/>
      <c r="J54" s="504"/>
      <c r="K54" s="850" t="s">
        <v>375</v>
      </c>
      <c r="L54" s="365" t="s">
        <v>467</v>
      </c>
      <c r="M54" s="365"/>
      <c r="N54" s="370"/>
      <c r="O54" s="370"/>
      <c r="P54" s="370"/>
      <c r="Q54" s="370"/>
      <c r="R54" s="374"/>
      <c r="S54" s="374"/>
      <c r="T54" s="374"/>
      <c r="U54" s="374"/>
      <c r="V54" s="374"/>
    </row>
    <row r="55" spans="1:22" ht="15.5" x14ac:dyDescent="0.25">
      <c r="A55" s="365"/>
      <c r="B55" s="414">
        <v>110000058590</v>
      </c>
      <c r="C55" s="408" t="s">
        <v>398</v>
      </c>
      <c r="D55" s="408" t="s">
        <v>399</v>
      </c>
      <c r="E55" s="408" t="s">
        <v>383</v>
      </c>
      <c r="F55" s="521">
        <v>69205517.420000002</v>
      </c>
      <c r="G55" s="404">
        <v>3.3</v>
      </c>
      <c r="H55" s="493">
        <v>2283782.0699999998</v>
      </c>
      <c r="I55" s="496"/>
      <c r="J55" s="497"/>
      <c r="K55" s="850" t="s">
        <v>375</v>
      </c>
      <c r="L55" s="365" t="s">
        <v>400</v>
      </c>
      <c r="M55" s="365"/>
      <c r="N55" s="370"/>
      <c r="O55" s="370"/>
      <c r="P55" s="370"/>
      <c r="Q55" s="370"/>
      <c r="R55" s="374"/>
      <c r="S55" s="374"/>
      <c r="T55" s="374"/>
      <c r="U55" s="374"/>
      <c r="V55" s="374"/>
    </row>
    <row r="56" spans="1:22" ht="15.5" x14ac:dyDescent="0.25">
      <c r="A56" s="365"/>
      <c r="B56" s="623" t="s">
        <v>468</v>
      </c>
      <c r="C56" s="534"/>
      <c r="D56" s="534"/>
      <c r="E56" s="534"/>
      <c r="F56" s="373"/>
      <c r="G56" s="367"/>
      <c r="H56" s="493"/>
      <c r="I56" s="525"/>
      <c r="J56" s="368"/>
      <c r="K56" s="839"/>
      <c r="L56" s="365"/>
      <c r="M56" s="589"/>
      <c r="N56" s="365"/>
      <c r="O56" s="365"/>
      <c r="P56" s="365"/>
      <c r="Q56" s="365"/>
      <c r="R56" s="353"/>
      <c r="S56" s="353"/>
      <c r="T56" s="353"/>
      <c r="U56" s="353"/>
      <c r="V56" s="353"/>
    </row>
    <row r="57" spans="1:22" ht="15.5" x14ac:dyDescent="0.25">
      <c r="A57" s="365"/>
      <c r="B57" s="620" t="s">
        <v>372</v>
      </c>
      <c r="C57" s="534"/>
      <c r="D57" s="534"/>
      <c r="E57" s="534"/>
      <c r="F57" s="373">
        <v>68411000</v>
      </c>
      <c r="G57" s="367"/>
      <c r="H57" s="493"/>
      <c r="I57" s="525"/>
      <c r="J57" s="368"/>
      <c r="K57" s="839"/>
      <c r="L57" s="365"/>
      <c r="M57" s="365"/>
      <c r="N57" s="370"/>
      <c r="O57" s="370"/>
      <c r="P57" s="370"/>
      <c r="Q57" s="370"/>
      <c r="R57" s="374"/>
      <c r="S57" s="374"/>
      <c r="T57" s="374"/>
      <c r="U57" s="374"/>
      <c r="V57" s="374"/>
    </row>
    <row r="58" spans="1:22" ht="15.5" x14ac:dyDescent="0.25">
      <c r="A58" s="624"/>
      <c r="B58" s="636">
        <v>110000082881</v>
      </c>
      <c r="C58" s="628">
        <v>44820</v>
      </c>
      <c r="D58" s="628">
        <v>44910</v>
      </c>
      <c r="E58" s="628" t="s">
        <v>470</v>
      </c>
      <c r="F58" s="629">
        <v>45500000</v>
      </c>
      <c r="G58" s="630">
        <v>2.25</v>
      </c>
      <c r="H58" s="493">
        <v>1023750</v>
      </c>
      <c r="I58" s="631"/>
      <c r="J58" s="637"/>
      <c r="K58" s="870" t="s">
        <v>569</v>
      </c>
      <c r="L58" s="633"/>
      <c r="M58" s="624"/>
      <c r="N58" s="634"/>
      <c r="O58" s="634"/>
      <c r="P58" s="634"/>
      <c r="Q58" s="634"/>
      <c r="R58" s="635"/>
      <c r="S58" s="635"/>
      <c r="T58" s="635"/>
      <c r="U58" s="635"/>
      <c r="V58" s="635"/>
    </row>
    <row r="59" spans="1:22" ht="15.5" x14ac:dyDescent="0.25">
      <c r="A59" s="624"/>
      <c r="B59" s="636">
        <v>110000082890</v>
      </c>
      <c r="C59" s="628">
        <v>44820</v>
      </c>
      <c r="D59" s="628">
        <v>44910</v>
      </c>
      <c r="E59" s="628" t="s">
        <v>470</v>
      </c>
      <c r="F59" s="629">
        <v>22500000</v>
      </c>
      <c r="G59" s="630">
        <v>2.25</v>
      </c>
      <c r="H59" s="493">
        <v>506250</v>
      </c>
      <c r="I59" s="631"/>
      <c r="J59" s="637"/>
      <c r="K59" s="870" t="s">
        <v>570</v>
      </c>
      <c r="L59" s="633"/>
      <c r="M59" s="624"/>
      <c r="N59" s="634"/>
      <c r="O59" s="634"/>
      <c r="P59" s="634"/>
      <c r="Q59" s="634"/>
      <c r="R59" s="635"/>
      <c r="S59" s="635"/>
      <c r="T59" s="635"/>
      <c r="U59" s="635"/>
      <c r="V59" s="635"/>
    </row>
    <row r="60" spans="1:22" ht="15.5" x14ac:dyDescent="0.25">
      <c r="A60" s="624"/>
      <c r="B60" s="636">
        <v>110000082907</v>
      </c>
      <c r="C60" s="628">
        <v>44820</v>
      </c>
      <c r="D60" s="628">
        <v>44910</v>
      </c>
      <c r="E60" s="628" t="s">
        <v>470</v>
      </c>
      <c r="F60" s="629">
        <v>411000</v>
      </c>
      <c r="G60" s="630">
        <v>2.25</v>
      </c>
      <c r="H60" s="493">
        <v>9247.5</v>
      </c>
      <c r="I60" s="631"/>
      <c r="J60" s="637"/>
      <c r="K60" s="870" t="s">
        <v>571</v>
      </c>
      <c r="L60" s="633"/>
      <c r="M60" s="624"/>
      <c r="N60" s="634"/>
      <c r="O60" s="634"/>
      <c r="P60" s="634"/>
      <c r="Q60" s="634"/>
      <c r="R60" s="635"/>
      <c r="S60" s="635"/>
      <c r="T60" s="635"/>
      <c r="U60" s="635"/>
      <c r="V60" s="635"/>
    </row>
    <row r="61" spans="1:22" ht="15.5" x14ac:dyDescent="0.25">
      <c r="A61" s="638"/>
      <c r="B61" s="639" t="s">
        <v>401</v>
      </c>
      <c r="C61" s="528"/>
      <c r="D61" s="528"/>
      <c r="E61" s="534"/>
      <c r="F61" s="373">
        <v>586851593.26999998</v>
      </c>
      <c r="G61" s="367"/>
      <c r="H61" s="851">
        <v>9147566.3599999994</v>
      </c>
      <c r="I61" s="852">
        <v>3.0300000000000001E-2</v>
      </c>
      <c r="J61" s="368">
        <v>302062365.22000003</v>
      </c>
      <c r="K61" s="839"/>
      <c r="L61" s="365"/>
      <c r="M61" s="365"/>
      <c r="N61" s="365"/>
      <c r="O61" s="365"/>
      <c r="P61" s="365"/>
      <c r="Q61" s="365"/>
      <c r="R61" s="353"/>
      <c r="S61" s="353"/>
      <c r="T61" s="353"/>
      <c r="U61" s="353"/>
      <c r="V61" s="353"/>
    </row>
    <row r="62" spans="1:22" ht="15.5" x14ac:dyDescent="0.25">
      <c r="A62" s="365"/>
      <c r="B62" s="511" t="s">
        <v>474</v>
      </c>
      <c r="C62" s="849">
        <v>42431</v>
      </c>
      <c r="D62" s="849">
        <v>44986</v>
      </c>
      <c r="E62" s="516" t="s">
        <v>381</v>
      </c>
      <c r="F62" s="521">
        <v>501737.97</v>
      </c>
      <c r="G62" s="412">
        <v>4.8125</v>
      </c>
      <c r="H62" s="493">
        <v>24146.14</v>
      </c>
      <c r="I62" s="522"/>
      <c r="J62" s="523"/>
      <c r="K62" s="850" t="s">
        <v>375</v>
      </c>
      <c r="L62" s="365"/>
      <c r="M62" s="365"/>
      <c r="N62" s="365"/>
      <c r="O62" s="365"/>
      <c r="P62" s="365"/>
      <c r="Q62" s="365"/>
      <c r="R62" s="353"/>
      <c r="S62" s="353"/>
      <c r="T62" s="353"/>
      <c r="U62" s="353"/>
      <c r="V62" s="353"/>
    </row>
    <row r="63" spans="1:22" ht="15.5" x14ac:dyDescent="0.25">
      <c r="A63" s="365"/>
      <c r="B63" s="644" t="s">
        <v>572</v>
      </c>
      <c r="C63" s="871">
        <v>44834</v>
      </c>
      <c r="D63" s="871">
        <v>47756</v>
      </c>
      <c r="E63" s="872" t="s">
        <v>383</v>
      </c>
      <c r="F63" s="873">
        <v>2936100</v>
      </c>
      <c r="G63" s="874">
        <v>4.125</v>
      </c>
      <c r="H63" s="493">
        <v>121114.13</v>
      </c>
      <c r="I63" s="875"/>
      <c r="J63" s="876"/>
      <c r="K63" s="868" t="s">
        <v>437</v>
      </c>
      <c r="L63" s="365"/>
      <c r="M63" s="365"/>
      <c r="N63" s="365"/>
      <c r="O63" s="365"/>
      <c r="P63" s="365"/>
      <c r="Q63" s="365"/>
      <c r="R63" s="353"/>
      <c r="S63" s="353"/>
      <c r="T63" s="353"/>
      <c r="U63" s="353"/>
      <c r="V63" s="353"/>
    </row>
    <row r="64" spans="1:22" ht="15.5" x14ac:dyDescent="0.25">
      <c r="A64" s="365"/>
      <c r="B64" s="511" t="s">
        <v>475</v>
      </c>
      <c r="C64" s="849">
        <v>42599</v>
      </c>
      <c r="D64" s="849">
        <v>45155</v>
      </c>
      <c r="E64" s="516" t="s">
        <v>381</v>
      </c>
      <c r="F64" s="521">
        <v>22277530.09</v>
      </c>
      <c r="G64" s="412">
        <v>4.8</v>
      </c>
      <c r="H64" s="493">
        <v>1069321.44</v>
      </c>
      <c r="I64" s="522"/>
      <c r="J64" s="523"/>
      <c r="K64" s="850" t="s">
        <v>375</v>
      </c>
      <c r="L64" s="365"/>
      <c r="M64" s="365"/>
      <c r="N64" s="370"/>
      <c r="O64" s="370"/>
      <c r="P64" s="370"/>
      <c r="Q64" s="370"/>
      <c r="R64" s="374"/>
      <c r="S64" s="374"/>
      <c r="T64" s="374"/>
      <c r="U64" s="374"/>
      <c r="V64" s="374"/>
    </row>
    <row r="65" spans="1:22" ht="15.5" x14ac:dyDescent="0.25">
      <c r="A65" s="640"/>
      <c r="B65" s="511" t="s">
        <v>476</v>
      </c>
      <c r="C65" s="849">
        <v>44075</v>
      </c>
      <c r="D65" s="849">
        <v>45168</v>
      </c>
      <c r="E65" s="516" t="s">
        <v>477</v>
      </c>
      <c r="F65" s="521">
        <v>333183.59999999998</v>
      </c>
      <c r="G65" s="412">
        <v>3</v>
      </c>
      <c r="H65" s="493">
        <v>9995.51</v>
      </c>
      <c r="I65" s="522"/>
      <c r="J65" s="523"/>
      <c r="K65" s="850" t="s">
        <v>375</v>
      </c>
      <c r="L65" s="640"/>
      <c r="M65" s="640"/>
      <c r="N65" s="641"/>
      <c r="O65" s="641"/>
      <c r="P65" s="641"/>
      <c r="Q65" s="641"/>
      <c r="R65" s="642"/>
      <c r="S65" s="642"/>
      <c r="T65" s="642"/>
      <c r="U65" s="642"/>
      <c r="V65" s="642"/>
    </row>
    <row r="66" spans="1:22" ht="15.5" x14ac:dyDescent="0.25">
      <c r="A66" s="520"/>
      <c r="B66" s="415" t="s">
        <v>478</v>
      </c>
      <c r="C66" s="853">
        <v>42277</v>
      </c>
      <c r="D66" s="853">
        <v>45197</v>
      </c>
      <c r="E66" s="408" t="s">
        <v>383</v>
      </c>
      <c r="F66" s="854">
        <v>19194586.809999999</v>
      </c>
      <c r="G66" s="404">
        <v>4.9000000000000004</v>
      </c>
      <c r="H66" s="493">
        <v>940534.75</v>
      </c>
      <c r="I66" s="496"/>
      <c r="J66" s="497"/>
      <c r="K66" s="850" t="s">
        <v>375</v>
      </c>
      <c r="L66" s="365"/>
      <c r="M66" s="337"/>
      <c r="N66" s="520"/>
      <c r="O66" s="520"/>
      <c r="P66" s="520"/>
      <c r="Q66" s="520"/>
      <c r="R66" s="524"/>
      <c r="S66" s="524"/>
      <c r="T66" s="524"/>
      <c r="U66" s="524"/>
      <c r="V66" s="524"/>
    </row>
    <row r="67" spans="1:22" ht="15.5" x14ac:dyDescent="0.25">
      <c r="A67" s="365"/>
      <c r="B67" s="511" t="s">
        <v>415</v>
      </c>
      <c r="C67" s="849">
        <v>43318</v>
      </c>
      <c r="D67" s="849">
        <v>45509</v>
      </c>
      <c r="E67" s="516" t="s">
        <v>379</v>
      </c>
      <c r="F67" s="521">
        <v>36000000</v>
      </c>
      <c r="G67" s="404">
        <v>4.875</v>
      </c>
      <c r="H67" s="493">
        <v>1755000</v>
      </c>
      <c r="I67" s="496"/>
      <c r="J67" s="497"/>
      <c r="K67" s="850" t="s">
        <v>375</v>
      </c>
      <c r="L67" s="365" t="s">
        <v>472</v>
      </c>
      <c r="M67" s="365"/>
      <c r="N67" s="365"/>
      <c r="O67" s="365"/>
      <c r="P67" s="365"/>
      <c r="Q67" s="365"/>
      <c r="R67" s="353"/>
      <c r="S67" s="353"/>
      <c r="T67" s="353"/>
      <c r="U67" s="353"/>
      <c r="V67" s="353"/>
    </row>
    <row r="68" spans="1:22" ht="15.5" x14ac:dyDescent="0.25">
      <c r="A68" s="520"/>
      <c r="B68" s="511" t="s">
        <v>479</v>
      </c>
      <c r="C68" s="849">
        <v>43340</v>
      </c>
      <c r="D68" s="516">
        <v>45530</v>
      </c>
      <c r="E68" s="516" t="s">
        <v>379</v>
      </c>
      <c r="F68" s="521">
        <v>10971068.67</v>
      </c>
      <c r="G68" s="412">
        <v>4.875</v>
      </c>
      <c r="H68" s="493">
        <v>534839.6</v>
      </c>
      <c r="I68" s="522"/>
      <c r="J68" s="523"/>
      <c r="K68" s="850" t="s">
        <v>375</v>
      </c>
      <c r="L68" s="365" t="s">
        <v>480</v>
      </c>
      <c r="M68" s="520"/>
      <c r="N68" s="520"/>
      <c r="O68" s="520"/>
      <c r="P68" s="520"/>
      <c r="Q68" s="524"/>
      <c r="R68" s="524"/>
      <c r="S68" s="524"/>
      <c r="T68" s="524"/>
      <c r="U68" s="524"/>
      <c r="V68" s="520"/>
    </row>
    <row r="69" spans="1:22" ht="15.5" x14ac:dyDescent="0.25">
      <c r="A69" s="365"/>
      <c r="B69" s="511" t="s">
        <v>481</v>
      </c>
      <c r="C69" s="849">
        <v>43017</v>
      </c>
      <c r="D69" s="516">
        <v>45574</v>
      </c>
      <c r="E69" s="516" t="s">
        <v>381</v>
      </c>
      <c r="F69" s="521">
        <v>15764183.26</v>
      </c>
      <c r="G69" s="404">
        <v>4.5</v>
      </c>
      <c r="H69" s="493">
        <v>709388.25</v>
      </c>
      <c r="I69" s="496"/>
      <c r="J69" s="497"/>
      <c r="K69" s="850" t="s">
        <v>375</v>
      </c>
      <c r="L69" s="365"/>
      <c r="M69" s="365"/>
      <c r="N69" s="370"/>
      <c r="O69" s="370"/>
      <c r="P69" s="370"/>
      <c r="Q69" s="370"/>
      <c r="R69" s="374"/>
      <c r="S69" s="374"/>
      <c r="T69" s="374"/>
      <c r="U69" s="374"/>
      <c r="V69" s="374"/>
    </row>
    <row r="70" spans="1:22" ht="15.5" x14ac:dyDescent="0.25">
      <c r="A70" s="365"/>
      <c r="B70" s="511" t="s">
        <v>418</v>
      </c>
      <c r="C70" s="849">
        <v>43815</v>
      </c>
      <c r="D70" s="516">
        <v>45642</v>
      </c>
      <c r="E70" s="516" t="s">
        <v>376</v>
      </c>
      <c r="F70" s="521">
        <v>22144243.620000001</v>
      </c>
      <c r="G70" s="404">
        <v>4</v>
      </c>
      <c r="H70" s="493">
        <v>885769.74</v>
      </c>
      <c r="I70" s="496"/>
      <c r="J70" s="497"/>
      <c r="K70" s="850" t="s">
        <v>375</v>
      </c>
      <c r="L70" s="365" t="s">
        <v>409</v>
      </c>
      <c r="M70" s="365"/>
      <c r="N70" s="370"/>
      <c r="O70" s="370"/>
      <c r="P70" s="370"/>
      <c r="Q70" s="370"/>
      <c r="R70" s="374"/>
      <c r="S70" s="374"/>
      <c r="T70" s="374"/>
      <c r="U70" s="374"/>
      <c r="V70" s="374"/>
    </row>
    <row r="71" spans="1:22" ht="15.5" x14ac:dyDescent="0.25">
      <c r="A71" s="365"/>
      <c r="B71" s="511" t="s">
        <v>482</v>
      </c>
      <c r="C71" s="849">
        <v>43511</v>
      </c>
      <c r="D71" s="516">
        <v>45702</v>
      </c>
      <c r="E71" s="516" t="s">
        <v>379</v>
      </c>
      <c r="F71" s="521">
        <v>1181712.93</v>
      </c>
      <c r="G71" s="404">
        <v>5</v>
      </c>
      <c r="H71" s="493">
        <v>59085.65</v>
      </c>
      <c r="I71" s="496"/>
      <c r="J71" s="497"/>
      <c r="K71" s="850" t="s">
        <v>375</v>
      </c>
      <c r="L71" s="365"/>
      <c r="M71" s="365"/>
      <c r="N71" s="370"/>
      <c r="O71" s="370"/>
      <c r="P71" s="370"/>
      <c r="Q71" s="370"/>
      <c r="R71" s="374"/>
      <c r="S71" s="374"/>
      <c r="T71" s="374"/>
      <c r="U71" s="374"/>
      <c r="V71" s="374"/>
    </row>
    <row r="72" spans="1:22" ht="15.5" x14ac:dyDescent="0.25">
      <c r="A72" s="365"/>
      <c r="B72" s="511" t="s">
        <v>483</v>
      </c>
      <c r="C72" s="849">
        <v>43403</v>
      </c>
      <c r="D72" s="516">
        <v>45960</v>
      </c>
      <c r="E72" s="516" t="s">
        <v>381</v>
      </c>
      <c r="F72" s="521">
        <v>33443142.440000001</v>
      </c>
      <c r="G72" s="404">
        <v>5</v>
      </c>
      <c r="H72" s="493">
        <v>1672157.12</v>
      </c>
      <c r="I72" s="496"/>
      <c r="J72" s="497"/>
      <c r="K72" s="850" t="s">
        <v>375</v>
      </c>
      <c r="L72" s="365"/>
      <c r="M72" s="365"/>
      <c r="N72" s="370"/>
      <c r="O72" s="370"/>
      <c r="P72" s="370"/>
      <c r="Q72" s="370"/>
      <c r="R72" s="374"/>
      <c r="S72" s="374"/>
      <c r="T72" s="374"/>
      <c r="U72" s="374"/>
      <c r="V72" s="374"/>
    </row>
    <row r="73" spans="1:22" ht="31" x14ac:dyDescent="0.25">
      <c r="A73" s="520"/>
      <c r="B73" s="643" t="s">
        <v>484</v>
      </c>
      <c r="C73" s="849">
        <v>43434</v>
      </c>
      <c r="D73" s="849">
        <v>45988</v>
      </c>
      <c r="E73" s="516" t="s">
        <v>381</v>
      </c>
      <c r="F73" s="521">
        <v>35450000</v>
      </c>
      <c r="G73" s="412">
        <v>5.125</v>
      </c>
      <c r="H73" s="493">
        <v>1816812.5</v>
      </c>
      <c r="I73" s="522"/>
      <c r="J73" s="523"/>
      <c r="K73" s="850" t="s">
        <v>375</v>
      </c>
      <c r="L73" s="365"/>
      <c r="M73" s="520"/>
      <c r="N73" s="520"/>
      <c r="O73" s="520"/>
      <c r="P73" s="520"/>
      <c r="Q73" s="520"/>
      <c r="R73" s="524"/>
      <c r="S73" s="524"/>
      <c r="T73" s="524"/>
      <c r="U73" s="524"/>
      <c r="V73" s="524"/>
    </row>
    <row r="74" spans="1:22" ht="15.5" x14ac:dyDescent="0.25">
      <c r="A74" s="520"/>
      <c r="B74" s="511" t="s">
        <v>485</v>
      </c>
      <c r="C74" s="849">
        <v>43815</v>
      </c>
      <c r="D74" s="516">
        <v>46006</v>
      </c>
      <c r="E74" s="516" t="s">
        <v>379</v>
      </c>
      <c r="F74" s="521">
        <v>25000000</v>
      </c>
      <c r="G74" s="412">
        <v>4.125</v>
      </c>
      <c r="H74" s="493">
        <v>1031250</v>
      </c>
      <c r="I74" s="522"/>
      <c r="J74" s="523"/>
      <c r="K74" s="850" t="s">
        <v>375</v>
      </c>
      <c r="L74" s="365" t="s">
        <v>409</v>
      </c>
      <c r="M74" s="520"/>
      <c r="N74" s="520"/>
      <c r="O74" s="520"/>
      <c r="P74" s="520"/>
      <c r="Q74" s="520"/>
      <c r="R74" s="524"/>
      <c r="S74" s="524"/>
      <c r="T74" s="524"/>
      <c r="U74" s="524"/>
      <c r="V74" s="524"/>
    </row>
    <row r="75" spans="1:22" ht="15.5" x14ac:dyDescent="0.25">
      <c r="A75" s="520"/>
      <c r="B75" s="511" t="s">
        <v>486</v>
      </c>
      <c r="C75" s="849">
        <v>43452</v>
      </c>
      <c r="D75" s="849">
        <v>46007</v>
      </c>
      <c r="E75" s="516" t="s">
        <v>381</v>
      </c>
      <c r="F75" s="521">
        <v>12389162.4</v>
      </c>
      <c r="G75" s="412">
        <v>5.125</v>
      </c>
      <c r="H75" s="493">
        <v>634944.56999999995</v>
      </c>
      <c r="I75" s="522"/>
      <c r="J75" s="523"/>
      <c r="K75" s="850" t="s">
        <v>375</v>
      </c>
      <c r="L75" s="405" t="s">
        <v>453</v>
      </c>
      <c r="M75" s="520"/>
      <c r="N75" s="520"/>
      <c r="O75" s="520"/>
      <c r="P75" s="520"/>
      <c r="Q75" s="520"/>
      <c r="R75" s="524"/>
      <c r="S75" s="524"/>
      <c r="T75" s="524"/>
      <c r="U75" s="524"/>
      <c r="V75" s="524"/>
    </row>
    <row r="76" spans="1:22" ht="15.5" x14ac:dyDescent="0.25">
      <c r="A76" s="520"/>
      <c r="B76" s="644" t="s">
        <v>487</v>
      </c>
      <c r="C76" s="871">
        <v>44075</v>
      </c>
      <c r="D76" s="872">
        <v>46264</v>
      </c>
      <c r="E76" s="872" t="s">
        <v>379</v>
      </c>
      <c r="F76" s="873">
        <v>50000000</v>
      </c>
      <c r="G76" s="649">
        <v>3.5</v>
      </c>
      <c r="H76" s="493">
        <v>1750000</v>
      </c>
      <c r="I76" s="877"/>
      <c r="J76" s="650"/>
      <c r="K76" s="850" t="s">
        <v>375</v>
      </c>
      <c r="L76" s="365"/>
      <c r="M76" s="520"/>
      <c r="N76" s="520"/>
      <c r="O76" s="520"/>
      <c r="P76" s="520"/>
      <c r="Q76" s="520"/>
      <c r="R76" s="524"/>
      <c r="S76" s="524"/>
      <c r="T76" s="524"/>
      <c r="U76" s="524"/>
      <c r="V76" s="524"/>
    </row>
    <row r="77" spans="1:22" ht="15.5" x14ac:dyDescent="0.25">
      <c r="A77" s="520"/>
      <c r="B77" s="511" t="s">
        <v>454</v>
      </c>
      <c r="C77" s="849">
        <v>43815</v>
      </c>
      <c r="D77" s="516">
        <v>46370</v>
      </c>
      <c r="E77" s="516" t="s">
        <v>381</v>
      </c>
      <c r="F77" s="521">
        <v>20381174.690000001</v>
      </c>
      <c r="G77" s="412">
        <v>4.25</v>
      </c>
      <c r="H77" s="493">
        <v>866199.92</v>
      </c>
      <c r="I77" s="522"/>
      <c r="J77" s="523"/>
      <c r="K77" s="850" t="s">
        <v>375</v>
      </c>
      <c r="L77" s="365" t="s">
        <v>409</v>
      </c>
      <c r="M77" s="520"/>
      <c r="N77" s="520"/>
      <c r="O77" s="520"/>
      <c r="P77" s="520"/>
      <c r="Q77" s="520"/>
      <c r="R77" s="524"/>
      <c r="S77" s="524"/>
      <c r="T77" s="524"/>
      <c r="U77" s="524"/>
      <c r="V77" s="524"/>
    </row>
    <row r="78" spans="1:22" ht="15.5" x14ac:dyDescent="0.25">
      <c r="A78" s="609"/>
      <c r="B78" s="511" t="s">
        <v>488</v>
      </c>
      <c r="C78" s="849">
        <v>44179</v>
      </c>
      <c r="D78" s="516">
        <v>46370</v>
      </c>
      <c r="E78" s="516" t="s">
        <v>379</v>
      </c>
      <c r="F78" s="521">
        <v>50000000</v>
      </c>
      <c r="G78" s="412">
        <v>3</v>
      </c>
      <c r="H78" s="493">
        <v>1500000</v>
      </c>
      <c r="I78" s="522"/>
      <c r="J78" s="523"/>
      <c r="K78" s="850" t="s">
        <v>375</v>
      </c>
      <c r="L78" s="640" t="s">
        <v>489</v>
      </c>
      <c r="M78" s="609"/>
      <c r="N78" s="609"/>
      <c r="O78" s="609"/>
      <c r="P78" s="609"/>
      <c r="Q78" s="609"/>
      <c r="R78" s="611"/>
      <c r="S78" s="611"/>
      <c r="T78" s="611"/>
      <c r="U78" s="611"/>
      <c r="V78" s="611"/>
    </row>
    <row r="79" spans="1:22" ht="15.5" x14ac:dyDescent="0.25">
      <c r="A79" s="609"/>
      <c r="B79" s="644" t="s">
        <v>490</v>
      </c>
      <c r="C79" s="871">
        <v>44075</v>
      </c>
      <c r="D79" s="872">
        <v>46629</v>
      </c>
      <c r="E79" s="872" t="s">
        <v>381</v>
      </c>
      <c r="F79" s="873">
        <v>24876034.420000002</v>
      </c>
      <c r="G79" s="649">
        <v>3.53</v>
      </c>
      <c r="H79" s="493">
        <v>878124.02</v>
      </c>
      <c r="I79" s="877"/>
      <c r="J79" s="650"/>
      <c r="K79" s="850" t="s">
        <v>375</v>
      </c>
      <c r="L79" s="640"/>
      <c r="M79" s="609"/>
      <c r="N79" s="609"/>
      <c r="O79" s="609"/>
      <c r="P79" s="609"/>
      <c r="Q79" s="609"/>
      <c r="R79" s="611"/>
      <c r="S79" s="611"/>
      <c r="T79" s="611"/>
      <c r="U79" s="611"/>
      <c r="V79" s="611"/>
    </row>
    <row r="80" spans="1:22" ht="15.5" x14ac:dyDescent="0.25">
      <c r="A80" s="609"/>
      <c r="B80" s="644" t="s">
        <v>491</v>
      </c>
      <c r="C80" s="871">
        <v>44726</v>
      </c>
      <c r="D80" s="872">
        <v>47281</v>
      </c>
      <c r="E80" s="872" t="s">
        <v>381</v>
      </c>
      <c r="F80" s="873">
        <v>29000000</v>
      </c>
      <c r="G80" s="649">
        <v>3.95</v>
      </c>
      <c r="H80" s="493">
        <v>1145500</v>
      </c>
      <c r="I80" s="877"/>
      <c r="J80" s="650"/>
      <c r="K80" s="850" t="s">
        <v>437</v>
      </c>
      <c r="L80" s="640"/>
      <c r="M80" s="609"/>
      <c r="N80" s="609"/>
      <c r="O80" s="609"/>
      <c r="P80" s="609"/>
      <c r="Q80" s="609"/>
      <c r="R80" s="611"/>
      <c r="S80" s="611"/>
      <c r="T80" s="611"/>
      <c r="U80" s="611"/>
      <c r="V80" s="611"/>
    </row>
    <row r="81" spans="1:22" ht="15.5" x14ac:dyDescent="0.25">
      <c r="A81" s="878"/>
      <c r="B81" s="806" t="s">
        <v>564</v>
      </c>
      <c r="C81" s="879">
        <v>44799</v>
      </c>
      <c r="D81" s="880">
        <v>46989</v>
      </c>
      <c r="E81" s="880" t="s">
        <v>379</v>
      </c>
      <c r="F81" s="881">
        <v>22835000</v>
      </c>
      <c r="G81" s="808">
        <v>4.125</v>
      </c>
      <c r="H81" s="493">
        <v>941943.75</v>
      </c>
      <c r="I81" s="882"/>
      <c r="J81" s="809"/>
      <c r="K81" s="859" t="s">
        <v>437</v>
      </c>
      <c r="L81" s="883"/>
      <c r="M81" s="878"/>
      <c r="N81" s="878"/>
      <c r="O81" s="878"/>
      <c r="P81" s="878"/>
      <c r="Q81" s="878"/>
      <c r="R81" s="884"/>
      <c r="S81" s="884"/>
      <c r="T81" s="884"/>
      <c r="U81" s="884"/>
      <c r="V81" s="884"/>
    </row>
    <row r="82" spans="1:22" ht="15.5" x14ac:dyDescent="0.25">
      <c r="A82" s="855"/>
      <c r="B82" s="806" t="s">
        <v>565</v>
      </c>
      <c r="C82" s="879">
        <v>44799</v>
      </c>
      <c r="D82" s="879">
        <v>47354</v>
      </c>
      <c r="E82" s="880" t="s">
        <v>381</v>
      </c>
      <c r="F82" s="881">
        <v>47835000</v>
      </c>
      <c r="G82" s="808">
        <v>4.25</v>
      </c>
      <c r="H82" s="493">
        <v>2032987.5</v>
      </c>
      <c r="I82" s="882"/>
      <c r="J82" s="809"/>
      <c r="K82" s="859" t="s">
        <v>437</v>
      </c>
      <c r="L82" s="860"/>
      <c r="M82" s="855"/>
      <c r="N82" s="855"/>
      <c r="O82" s="855"/>
      <c r="P82" s="855"/>
      <c r="Q82" s="855"/>
      <c r="R82" s="861"/>
      <c r="S82" s="861"/>
      <c r="T82" s="861"/>
      <c r="U82" s="861"/>
      <c r="V82" s="861"/>
    </row>
    <row r="83" spans="1:22" ht="15.5" x14ac:dyDescent="0.25">
      <c r="A83" s="885"/>
      <c r="B83" s="806" t="s">
        <v>566</v>
      </c>
      <c r="C83" s="879">
        <v>44799</v>
      </c>
      <c r="D83" s="880">
        <v>47721</v>
      </c>
      <c r="E83" s="880" t="s">
        <v>383</v>
      </c>
      <c r="F83" s="881">
        <v>47837732.369999997</v>
      </c>
      <c r="G83" s="808">
        <v>4.5</v>
      </c>
      <c r="H83" s="493">
        <v>2152697.96</v>
      </c>
      <c r="I83" s="882"/>
      <c r="J83" s="809"/>
      <c r="K83" s="850" t="s">
        <v>437</v>
      </c>
      <c r="L83" s="886"/>
      <c r="M83" s="885"/>
      <c r="N83" s="885"/>
      <c r="O83" s="885"/>
      <c r="P83" s="885"/>
      <c r="Q83" s="885"/>
      <c r="R83" s="887"/>
      <c r="S83" s="887"/>
      <c r="T83" s="887"/>
      <c r="U83" s="887"/>
      <c r="V83" s="887"/>
    </row>
    <row r="84" spans="1:22" ht="15.5" x14ac:dyDescent="0.25">
      <c r="A84" s="609"/>
      <c r="B84" s="644" t="s">
        <v>492</v>
      </c>
      <c r="C84" s="871">
        <v>44260</v>
      </c>
      <c r="D84" s="872">
        <v>47912</v>
      </c>
      <c r="E84" s="872" t="s">
        <v>493</v>
      </c>
      <c r="F84" s="873">
        <v>25000000</v>
      </c>
      <c r="G84" s="649">
        <v>3.125</v>
      </c>
      <c r="H84" s="493">
        <v>781250</v>
      </c>
      <c r="I84" s="877"/>
      <c r="J84" s="650"/>
      <c r="K84" s="850" t="s">
        <v>437</v>
      </c>
      <c r="L84" s="640"/>
      <c r="M84" s="609"/>
      <c r="N84" s="609"/>
      <c r="O84" s="609"/>
      <c r="P84" s="609"/>
      <c r="Q84" s="609"/>
      <c r="R84" s="611"/>
      <c r="S84" s="611"/>
      <c r="T84" s="611"/>
      <c r="U84" s="611"/>
      <c r="V84" s="611"/>
    </row>
    <row r="85" spans="1:22" ht="15.5" x14ac:dyDescent="0.25">
      <c r="A85" s="609"/>
      <c r="B85" s="644" t="s">
        <v>465</v>
      </c>
      <c r="C85" s="871">
        <v>44676</v>
      </c>
      <c r="D85" s="872">
        <v>47961</v>
      </c>
      <c r="E85" s="872" t="s">
        <v>462</v>
      </c>
      <c r="F85" s="873">
        <v>11500000</v>
      </c>
      <c r="G85" s="649">
        <v>3.375</v>
      </c>
      <c r="H85" s="493">
        <v>388125</v>
      </c>
      <c r="I85" s="877"/>
      <c r="J85" s="650"/>
      <c r="K85" s="850" t="s">
        <v>437</v>
      </c>
      <c r="L85" s="505" t="s">
        <v>459</v>
      </c>
      <c r="M85" s="609"/>
      <c r="N85" s="609"/>
      <c r="O85" s="609"/>
      <c r="P85" s="609"/>
      <c r="Q85" s="609"/>
      <c r="R85" s="611"/>
      <c r="S85" s="611"/>
      <c r="T85" s="611"/>
      <c r="U85" s="611"/>
      <c r="V85" s="611"/>
    </row>
    <row r="86" spans="1:22" ht="15.5" x14ac:dyDescent="0.25">
      <c r="A86" s="520"/>
      <c r="B86" s="644" t="s">
        <v>494</v>
      </c>
      <c r="C86" s="871">
        <v>44676</v>
      </c>
      <c r="D86" s="872">
        <v>48326</v>
      </c>
      <c r="E86" s="872" t="s">
        <v>493</v>
      </c>
      <c r="F86" s="873">
        <v>20000000</v>
      </c>
      <c r="G86" s="649">
        <v>3.5</v>
      </c>
      <c r="H86" s="493">
        <v>700000</v>
      </c>
      <c r="I86" s="877"/>
      <c r="J86" s="650"/>
      <c r="K86" s="850" t="s">
        <v>437</v>
      </c>
      <c r="L86" s="505" t="s">
        <v>459</v>
      </c>
      <c r="M86" s="520"/>
      <c r="N86" s="520"/>
      <c r="O86" s="520"/>
      <c r="P86" s="520"/>
      <c r="Q86" s="520"/>
      <c r="R86" s="524"/>
      <c r="S86" s="524"/>
      <c r="T86" s="524"/>
      <c r="U86" s="524"/>
      <c r="V86" s="524"/>
    </row>
    <row r="87" spans="1:22" ht="15.5" x14ac:dyDescent="0.25">
      <c r="A87" s="365"/>
      <c r="B87" s="639" t="s">
        <v>423</v>
      </c>
      <c r="C87" s="528"/>
      <c r="D87" s="528"/>
      <c r="E87" s="534"/>
      <c r="F87" s="373">
        <v>160281593.00999999</v>
      </c>
      <c r="G87" s="367"/>
      <c r="H87" s="851">
        <v>24401187.550000001</v>
      </c>
      <c r="I87" s="852">
        <v>4.1599999999999998E-2</v>
      </c>
      <c r="J87" s="368"/>
      <c r="K87" s="839"/>
      <c r="L87" s="365"/>
      <c r="M87" s="365"/>
      <c r="N87" s="365"/>
      <c r="O87" s="365"/>
      <c r="P87" s="365"/>
      <c r="Q87" s="365"/>
      <c r="R87" s="353"/>
      <c r="S87" s="353"/>
      <c r="T87" s="353"/>
      <c r="U87" s="353"/>
      <c r="V87" s="353"/>
    </row>
    <row r="88" spans="1:22" ht="15.5" x14ac:dyDescent="0.25">
      <c r="A88" s="519"/>
      <c r="B88" s="414">
        <v>50401687976</v>
      </c>
      <c r="C88" s="408">
        <v>42333</v>
      </c>
      <c r="D88" s="408">
        <v>45253</v>
      </c>
      <c r="E88" s="408" t="s">
        <v>383</v>
      </c>
      <c r="F88" s="854">
        <v>73281593.010000005</v>
      </c>
      <c r="G88" s="404">
        <v>5.4</v>
      </c>
      <c r="H88" s="493">
        <v>3957206.02</v>
      </c>
      <c r="I88" s="496"/>
      <c r="J88" s="497"/>
      <c r="K88" s="850" t="s">
        <v>375</v>
      </c>
      <c r="L88" s="365"/>
      <c r="M88" s="365"/>
      <c r="N88" s="365"/>
      <c r="O88" s="365"/>
      <c r="P88" s="365"/>
      <c r="Q88" s="365"/>
      <c r="R88" s="353"/>
      <c r="S88" s="353"/>
      <c r="T88" s="353"/>
      <c r="U88" s="353"/>
      <c r="V88" s="353"/>
    </row>
    <row r="89" spans="1:22" ht="15.5" x14ac:dyDescent="0.25">
      <c r="A89" s="519"/>
      <c r="B89" s="414">
        <v>50401000670</v>
      </c>
      <c r="C89" s="408">
        <v>44802</v>
      </c>
      <c r="D89" s="408">
        <v>46262</v>
      </c>
      <c r="E89" s="408" t="s">
        <v>408</v>
      </c>
      <c r="F89" s="854">
        <v>43500000</v>
      </c>
      <c r="G89" s="404">
        <v>4.7</v>
      </c>
      <c r="H89" s="493">
        <v>2044500</v>
      </c>
      <c r="I89" s="525"/>
      <c r="J89" s="368"/>
      <c r="K89" s="839" t="s">
        <v>437</v>
      </c>
      <c r="L89" s="365"/>
      <c r="M89" s="365"/>
      <c r="N89" s="365"/>
      <c r="O89" s="365"/>
      <c r="P89" s="365"/>
      <c r="Q89" s="365"/>
      <c r="R89" s="353"/>
      <c r="S89" s="353"/>
      <c r="T89" s="353"/>
      <c r="U89" s="353"/>
      <c r="V89" s="353"/>
    </row>
    <row r="90" spans="1:22" ht="15.5" x14ac:dyDescent="0.25">
      <c r="A90" s="519"/>
      <c r="B90" s="414">
        <v>50401000686</v>
      </c>
      <c r="C90" s="408">
        <v>44802</v>
      </c>
      <c r="D90" s="408">
        <v>46627</v>
      </c>
      <c r="E90" s="408" t="s">
        <v>376</v>
      </c>
      <c r="F90" s="854">
        <v>43500000</v>
      </c>
      <c r="G90" s="404">
        <v>4.8</v>
      </c>
      <c r="H90" s="493">
        <v>2088000</v>
      </c>
      <c r="I90" s="525"/>
      <c r="J90" s="368"/>
      <c r="K90" s="839" t="s">
        <v>437</v>
      </c>
      <c r="L90" s="365"/>
      <c r="M90" s="365"/>
      <c r="N90" s="365"/>
      <c r="O90" s="365"/>
      <c r="P90" s="365"/>
      <c r="Q90" s="365"/>
      <c r="R90" s="353"/>
      <c r="S90" s="353"/>
      <c r="T90" s="353"/>
      <c r="U90" s="353"/>
      <c r="V90" s="353"/>
    </row>
    <row r="91" spans="1:22" ht="15.5" x14ac:dyDescent="0.25">
      <c r="A91" s="365"/>
      <c r="B91" s="639" t="s">
        <v>567</v>
      </c>
      <c r="C91" s="528"/>
      <c r="D91" s="528"/>
      <c r="E91" s="534"/>
      <c r="F91" s="373">
        <v>87000000</v>
      </c>
      <c r="G91" s="367"/>
      <c r="H91" s="493"/>
      <c r="I91" s="525"/>
      <c r="J91" s="368"/>
      <c r="K91" s="839"/>
      <c r="L91" s="365"/>
      <c r="M91" s="365"/>
      <c r="N91" s="365"/>
      <c r="O91" s="365"/>
      <c r="P91" s="365"/>
      <c r="Q91" s="365"/>
      <c r="R91" s="353"/>
      <c r="S91" s="353"/>
      <c r="T91" s="353"/>
      <c r="U91" s="353"/>
      <c r="V91" s="353"/>
    </row>
    <row r="92" spans="1:22" ht="15.5" x14ac:dyDescent="0.25">
      <c r="A92" s="519"/>
      <c r="B92" s="511">
        <v>130020000610160</v>
      </c>
      <c r="C92" s="849">
        <v>44803</v>
      </c>
      <c r="D92" s="849">
        <v>45898</v>
      </c>
      <c r="E92" s="516" t="s">
        <v>477</v>
      </c>
      <c r="F92" s="521">
        <v>29000000</v>
      </c>
      <c r="G92" s="865">
        <v>4.0999999999999996</v>
      </c>
      <c r="H92" s="493">
        <v>1189000</v>
      </c>
      <c r="I92" s="866"/>
      <c r="J92" s="867"/>
      <c r="K92" s="850" t="s">
        <v>437</v>
      </c>
      <c r="L92" s="365"/>
      <c r="M92" s="365"/>
      <c r="N92" s="365"/>
      <c r="O92" s="365"/>
      <c r="P92" s="365"/>
      <c r="Q92" s="365"/>
      <c r="R92" s="353"/>
      <c r="S92" s="353"/>
      <c r="T92" s="353"/>
      <c r="U92" s="353"/>
      <c r="V92" s="353"/>
    </row>
    <row r="93" spans="1:22" ht="15.5" x14ac:dyDescent="0.25">
      <c r="A93" s="519"/>
      <c r="B93" s="511">
        <v>130020000610112</v>
      </c>
      <c r="C93" s="849">
        <v>44803</v>
      </c>
      <c r="D93" s="849">
        <v>46265</v>
      </c>
      <c r="E93" s="516" t="s">
        <v>408</v>
      </c>
      <c r="F93" s="521">
        <v>29000000</v>
      </c>
      <c r="G93" s="865">
        <v>4.5</v>
      </c>
      <c r="H93" s="493">
        <v>1305000</v>
      </c>
      <c r="I93" s="866"/>
      <c r="J93" s="867"/>
      <c r="K93" s="850" t="s">
        <v>437</v>
      </c>
      <c r="L93" s="365"/>
      <c r="M93" s="365"/>
      <c r="N93" s="365"/>
      <c r="O93" s="365"/>
      <c r="P93" s="365"/>
      <c r="Q93" s="365"/>
      <c r="R93" s="353"/>
      <c r="S93" s="353"/>
      <c r="T93" s="353"/>
      <c r="U93" s="353"/>
      <c r="V93" s="353"/>
    </row>
    <row r="94" spans="1:22" ht="15.5" x14ac:dyDescent="0.25">
      <c r="A94" s="519"/>
      <c r="B94" s="511">
        <v>130020000610110</v>
      </c>
      <c r="C94" s="849">
        <v>44803</v>
      </c>
      <c r="D94" s="849">
        <v>46629</v>
      </c>
      <c r="E94" s="516" t="s">
        <v>376</v>
      </c>
      <c r="F94" s="521">
        <v>29000000</v>
      </c>
      <c r="G94" s="865">
        <v>5</v>
      </c>
      <c r="H94" s="493">
        <v>1450000</v>
      </c>
      <c r="I94" s="866"/>
      <c r="J94" s="867"/>
      <c r="K94" s="850" t="s">
        <v>437</v>
      </c>
      <c r="L94" s="365"/>
      <c r="M94" s="365"/>
      <c r="N94" s="365"/>
      <c r="O94" s="365"/>
      <c r="P94" s="365"/>
      <c r="Q94" s="365"/>
      <c r="R94" s="353"/>
      <c r="S94" s="353"/>
      <c r="T94" s="353"/>
      <c r="U94" s="353"/>
      <c r="V94" s="353"/>
    </row>
    <row r="95" spans="1:22" ht="15.5" x14ac:dyDescent="0.25">
      <c r="A95" s="365"/>
      <c r="B95" s="639" t="s">
        <v>568</v>
      </c>
      <c r="C95" s="528"/>
      <c r="D95" s="528"/>
      <c r="E95" s="534"/>
      <c r="F95" s="373">
        <v>43500000</v>
      </c>
      <c r="G95" s="367"/>
      <c r="H95" s="493"/>
      <c r="I95" s="525"/>
      <c r="J95" s="368"/>
      <c r="K95" s="839"/>
      <c r="L95" s="365"/>
      <c r="M95" s="365"/>
      <c r="N95" s="365"/>
      <c r="O95" s="365"/>
      <c r="P95" s="365"/>
      <c r="Q95" s="365"/>
      <c r="R95" s="353"/>
      <c r="S95" s="353"/>
      <c r="T95" s="353"/>
      <c r="U95" s="353"/>
      <c r="V95" s="353"/>
    </row>
    <row r="96" spans="1:22" ht="15.5" x14ac:dyDescent="0.25">
      <c r="A96" s="519"/>
      <c r="B96" s="414">
        <v>258906338</v>
      </c>
      <c r="C96" s="408">
        <v>44777</v>
      </c>
      <c r="D96" s="408">
        <v>45873</v>
      </c>
      <c r="E96" s="408" t="s">
        <v>381</v>
      </c>
      <c r="F96" s="854">
        <v>43500000</v>
      </c>
      <c r="G96" s="404">
        <v>5.25</v>
      </c>
      <c r="H96" s="493">
        <v>2283750</v>
      </c>
      <c r="I96" s="496"/>
      <c r="J96" s="497"/>
      <c r="K96" s="850" t="s">
        <v>375</v>
      </c>
      <c r="L96" s="365"/>
      <c r="M96" s="365"/>
      <c r="N96" s="365"/>
      <c r="O96" s="365"/>
      <c r="P96" s="365"/>
      <c r="Q96" s="365"/>
      <c r="R96" s="353"/>
      <c r="S96" s="353"/>
      <c r="T96" s="353"/>
      <c r="U96" s="353"/>
      <c r="V96" s="353"/>
    </row>
    <row r="97" spans="1:22" ht="15.5" x14ac:dyDescent="0.25">
      <c r="A97" s="365"/>
      <c r="B97" s="652"/>
      <c r="C97" s="653"/>
      <c r="D97" s="654"/>
      <c r="E97" s="654"/>
      <c r="F97" s="655"/>
      <c r="G97" s="656"/>
      <c r="H97" s="888">
        <v>14317456.02</v>
      </c>
      <c r="I97" s="852">
        <v>4.9200000000000001E-2</v>
      </c>
      <c r="J97" s="368">
        <v>290781593.00999999</v>
      </c>
      <c r="K97" s="839"/>
      <c r="L97" s="365"/>
      <c r="M97" s="589"/>
      <c r="N97" s="365"/>
      <c r="O97" s="365"/>
      <c r="P97" s="365"/>
      <c r="Q97" s="365"/>
      <c r="R97" s="353"/>
      <c r="S97" s="353"/>
      <c r="T97" s="353"/>
      <c r="U97" s="353"/>
      <c r="V97" s="353"/>
    </row>
    <row r="98" spans="1:22" ht="15.5" x14ac:dyDescent="0.35">
      <c r="A98" s="520"/>
      <c r="B98" s="889" t="s">
        <v>514</v>
      </c>
      <c r="C98" s="344"/>
      <c r="D98" s="459"/>
      <c r="E98" s="336"/>
      <c r="F98" s="456"/>
      <c r="G98" s="682"/>
      <c r="H98" s="458"/>
      <c r="I98" s="543"/>
      <c r="J98" s="458">
        <v>290781593.00999999</v>
      </c>
      <c r="K98" s="839"/>
      <c r="L98" s="365"/>
      <c r="M98" s="337"/>
      <c r="N98" s="520"/>
      <c r="O98" s="520"/>
      <c r="P98" s="520"/>
      <c r="Q98" s="520"/>
      <c r="R98" s="524"/>
      <c r="S98" s="524"/>
      <c r="T98" s="524"/>
      <c r="U98" s="524"/>
      <c r="V98" s="524"/>
    </row>
    <row r="99" spans="1:22" ht="15.5" x14ac:dyDescent="0.35">
      <c r="B99" s="890">
        <v>44839</v>
      </c>
      <c r="C99" s="344"/>
      <c r="D99" s="455"/>
      <c r="E99" s="336"/>
      <c r="F99" s="456"/>
      <c r="G99" s="682"/>
      <c r="H99" s="458"/>
      <c r="I99" s="543"/>
      <c r="J99" s="458"/>
    </row>
    <row r="100" spans="1:22" ht="15.5" x14ac:dyDescent="0.25">
      <c r="B100" s="677" t="s">
        <v>515</v>
      </c>
      <c r="C100" s="453"/>
      <c r="D100" s="1656" t="s">
        <v>547</v>
      </c>
      <c r="E100" s="1656"/>
      <c r="F100" s="1656"/>
      <c r="G100" s="1657"/>
      <c r="H100" s="343"/>
      <c r="I100" s="892"/>
      <c r="J100" s="343"/>
    </row>
    <row r="101" spans="1:22" ht="15.5" x14ac:dyDescent="0.25">
      <c r="B101" s="1655" t="s">
        <v>573</v>
      </c>
      <c r="C101" s="1656"/>
      <c r="D101" s="1656" t="s">
        <v>574</v>
      </c>
      <c r="E101" s="1656"/>
      <c r="F101" s="1656"/>
      <c r="G101" s="1657"/>
      <c r="H101" s="343"/>
      <c r="I101" s="892"/>
      <c r="J101" s="343"/>
    </row>
    <row r="102" spans="1:22" ht="15.5" x14ac:dyDescent="0.25">
      <c r="B102" s="1655" t="s">
        <v>621</v>
      </c>
      <c r="C102" s="1656"/>
      <c r="D102" s="1656" t="s">
        <v>498</v>
      </c>
      <c r="E102" s="1656"/>
      <c r="F102" s="1656"/>
      <c r="G102" s="1657"/>
      <c r="H102" s="343"/>
      <c r="I102" s="892"/>
      <c r="J102" s="343"/>
    </row>
    <row r="103" spans="1:22" ht="15.5" x14ac:dyDescent="0.25">
      <c r="B103" s="893"/>
      <c r="C103" s="894"/>
      <c r="D103" s="894"/>
      <c r="E103" s="894"/>
      <c r="F103" s="894"/>
      <c r="G103" s="895"/>
      <c r="H103" s="454"/>
      <c r="I103" s="896"/>
      <c r="J103" s="454"/>
    </row>
    <row r="104" spans="1:22" ht="15.5" x14ac:dyDescent="0.35">
      <c r="B104" s="459"/>
    </row>
  </sheetData>
  <mergeCells count="20">
    <mergeCell ref="B101:C101"/>
    <mergeCell ref="D101:G101"/>
    <mergeCell ref="B102:C102"/>
    <mergeCell ref="D102:G102"/>
    <mergeCell ref="F6:F7"/>
    <mergeCell ref="G6:G8"/>
    <mergeCell ref="K6:K8"/>
    <mergeCell ref="M7:R8"/>
    <mergeCell ref="B9:E9"/>
    <mergeCell ref="D100:G100"/>
    <mergeCell ref="N1:R1"/>
    <mergeCell ref="B2:G2"/>
    <mergeCell ref="B3:G3"/>
    <mergeCell ref="M3:R3"/>
    <mergeCell ref="B4:G4"/>
    <mergeCell ref="M4:M6"/>
    <mergeCell ref="B5:G5"/>
    <mergeCell ref="B6:B8"/>
    <mergeCell ref="C6:D7"/>
    <mergeCell ref="E6:E8"/>
  </mergeCells>
  <pageMargins left="0.7" right="0.7" top="0.75" bottom="0.75" header="0.3" footer="0.3"/>
  <pageSetup paperSize="0" orientation="portrait" horizontalDpi="0" verticalDpi="0" copie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rgb="FF0000CC"/>
  </sheetPr>
  <dimension ref="B1:AF60"/>
  <sheetViews>
    <sheetView showGridLines="0" topLeftCell="A4" zoomScaleNormal="100" workbookViewId="0">
      <pane xSplit="3" ySplit="12" topLeftCell="D16" activePane="bottomRight" state="frozen"/>
      <selection activeCell="A4" sqref="A4"/>
      <selection pane="topRight" activeCell="D4" sqref="D4"/>
      <selection pane="bottomLeft" activeCell="A15" sqref="A15"/>
      <selection pane="bottomRight" activeCell="K50" sqref="K50"/>
    </sheetView>
  </sheetViews>
  <sheetFormatPr baseColWidth="10" defaultColWidth="11.453125" defaultRowHeight="13" x14ac:dyDescent="0.25"/>
  <cols>
    <col min="1" max="1" width="16.1796875" style="30" customWidth="1"/>
    <col min="2" max="2" width="48.7265625" style="30" customWidth="1"/>
    <col min="3" max="3" width="0.81640625" style="30" customWidth="1"/>
    <col min="4" max="4" width="23.26953125" style="31" customWidth="1"/>
    <col min="5" max="5" width="17.54296875" style="193" hidden="1" customWidth="1"/>
    <col min="6" max="6" width="1" style="30" customWidth="1"/>
    <col min="7" max="7" width="20.453125" style="30" customWidth="1"/>
    <col min="8" max="8" width="22.81640625" style="185" hidden="1" customWidth="1"/>
    <col min="9" max="9" width="22.1796875" style="30" customWidth="1"/>
    <col min="10" max="10" width="17.7265625" style="185" hidden="1" customWidth="1"/>
    <col min="11" max="11" width="21.54296875" style="30" customWidth="1"/>
    <col min="12" max="12" width="21.54296875" style="185" hidden="1" customWidth="1"/>
    <col min="13" max="13" width="22.81640625" style="30" customWidth="1"/>
    <col min="14" max="14" width="13.7265625" style="185" hidden="1" customWidth="1"/>
    <col min="15" max="15" width="25.7265625" style="30" customWidth="1"/>
    <col min="16" max="16" width="13.7265625" style="185" hidden="1" customWidth="1"/>
    <col min="17" max="17" width="22" style="1465" customWidth="1"/>
    <col min="18" max="18" width="13.7265625" style="185" hidden="1" customWidth="1"/>
    <col min="19" max="19" width="21.81640625" style="30" customWidth="1"/>
    <col min="20" max="20" width="13.7265625" style="185" hidden="1" customWidth="1"/>
    <col min="21" max="21" width="22.1796875" style="30" customWidth="1"/>
    <col min="22" max="22" width="15.7265625" style="185" hidden="1" customWidth="1"/>
    <col min="23" max="23" width="20" style="30" customWidth="1"/>
    <col min="24" max="24" width="15.7265625" style="185" hidden="1" customWidth="1"/>
    <col min="25" max="25" width="21.1796875" style="30" customWidth="1"/>
    <col min="26" max="26" width="16.7265625" style="185" hidden="1" customWidth="1"/>
    <col min="27" max="27" width="20" style="30" customWidth="1"/>
    <col min="28" max="28" width="16.7265625" style="185" hidden="1" customWidth="1"/>
    <col min="29" max="29" width="18.81640625" style="30" hidden="1" customWidth="1"/>
    <col min="30" max="30" width="10.7265625" style="185" hidden="1" customWidth="1"/>
    <col min="31" max="31" width="19.26953125" style="30" hidden="1" customWidth="1"/>
    <col min="32" max="32" width="11.26953125" style="185" hidden="1" customWidth="1"/>
    <col min="33" max="16384" width="11.453125" style="30"/>
  </cols>
  <sheetData>
    <row r="1" spans="2:32" ht="15.5" x14ac:dyDescent="0.25">
      <c r="B1" s="137"/>
      <c r="C1" s="138"/>
      <c r="D1" s="138"/>
      <c r="E1" s="182"/>
      <c r="F1" s="138"/>
      <c r="G1" s="138"/>
      <c r="H1" s="182"/>
      <c r="I1" s="138"/>
      <c r="J1" s="182"/>
      <c r="K1" s="138"/>
      <c r="L1" s="182"/>
      <c r="M1" s="138"/>
      <c r="N1" s="182"/>
      <c r="O1" s="138"/>
      <c r="P1" s="182"/>
      <c r="Q1" s="1457"/>
      <c r="R1" s="182"/>
      <c r="S1" s="138"/>
      <c r="T1" s="182"/>
      <c r="U1" s="138"/>
      <c r="V1" s="182"/>
      <c r="W1" s="138"/>
      <c r="X1" s="182"/>
      <c r="Y1" s="138"/>
      <c r="Z1" s="182"/>
      <c r="AA1" s="138"/>
      <c r="AB1" s="182"/>
      <c r="AC1" s="1580"/>
      <c r="AD1" s="1580"/>
      <c r="AE1" s="1580"/>
    </row>
    <row r="2" spans="2:32" ht="21" customHeight="1" x14ac:dyDescent="0.25">
      <c r="B2" s="1579" t="s">
        <v>0</v>
      </c>
      <c r="C2" s="1579"/>
      <c r="D2" s="1579"/>
      <c r="E2" s="1579"/>
      <c r="F2" s="1579"/>
      <c r="G2" s="1579"/>
      <c r="H2" s="1579"/>
      <c r="I2" s="1579"/>
      <c r="J2" s="1579"/>
      <c r="K2" s="1579"/>
      <c r="L2" s="1579"/>
      <c r="M2" s="1579"/>
      <c r="N2" s="1579"/>
      <c r="O2" s="1579"/>
      <c r="P2" s="1579"/>
      <c r="Q2" s="1579"/>
      <c r="R2" s="1579"/>
      <c r="S2" s="1579"/>
      <c r="T2" s="1579"/>
      <c r="U2" s="1579"/>
      <c r="V2" s="1579"/>
      <c r="W2" s="1579"/>
      <c r="X2" s="1579"/>
      <c r="Y2" s="1579"/>
      <c r="Z2" s="1579"/>
      <c r="AA2" s="1579"/>
      <c r="AB2" s="1579"/>
      <c r="AC2" s="1579"/>
      <c r="AD2" s="1579"/>
      <c r="AE2" s="1579"/>
      <c r="AF2" s="1579"/>
    </row>
    <row r="3" spans="2:32" ht="21" customHeight="1" x14ac:dyDescent="0.25">
      <c r="B3" s="1579" t="s">
        <v>1</v>
      </c>
      <c r="C3" s="1579"/>
      <c r="D3" s="1579"/>
      <c r="E3" s="1579"/>
      <c r="F3" s="1579"/>
      <c r="G3" s="1579"/>
      <c r="H3" s="1579"/>
      <c r="I3" s="1579"/>
      <c r="J3" s="1579"/>
      <c r="K3" s="1579"/>
      <c r="L3" s="1579"/>
      <c r="M3" s="1579"/>
      <c r="N3" s="1579"/>
      <c r="O3" s="1579"/>
      <c r="P3" s="1579"/>
      <c r="Q3" s="1579"/>
      <c r="R3" s="1579"/>
      <c r="S3" s="1579"/>
      <c r="T3" s="1579"/>
      <c r="U3" s="1579"/>
      <c r="V3" s="1579"/>
      <c r="W3" s="1579"/>
      <c r="X3" s="1579"/>
      <c r="Y3" s="1579"/>
      <c r="Z3" s="1579"/>
      <c r="AA3" s="1579"/>
      <c r="AB3" s="1579"/>
      <c r="AC3" s="1579"/>
      <c r="AD3" s="1579"/>
      <c r="AE3" s="1579"/>
      <c r="AF3" s="1579"/>
    </row>
    <row r="4" spans="2:32" ht="21" customHeight="1" x14ac:dyDescent="0.25">
      <c r="B4" s="1579" t="s">
        <v>0</v>
      </c>
      <c r="C4" s="1579"/>
      <c r="D4" s="1579"/>
      <c r="E4" s="1579"/>
      <c r="F4" s="1579"/>
      <c r="G4" s="1579"/>
      <c r="H4" s="1579"/>
      <c r="I4" s="1579"/>
      <c r="J4" s="1579"/>
      <c r="K4" s="1579"/>
      <c r="L4" s="1579"/>
      <c r="M4" s="1579"/>
      <c r="N4" s="1579"/>
      <c r="O4" s="1579"/>
      <c r="P4" s="1579"/>
      <c r="Q4" s="1579"/>
      <c r="R4" s="1579"/>
      <c r="S4" s="1579"/>
      <c r="T4" s="1579"/>
      <c r="U4" s="1579"/>
      <c r="V4" s="1579"/>
      <c r="W4" s="1579"/>
      <c r="X4" s="1579"/>
      <c r="Y4" s="1579"/>
      <c r="Z4" s="1579"/>
      <c r="AA4" s="1579"/>
      <c r="AB4" s="153"/>
      <c r="AC4" s="153"/>
      <c r="AD4" s="153"/>
      <c r="AE4" s="153"/>
      <c r="AF4" s="153"/>
    </row>
    <row r="5" spans="2:32" ht="21" customHeight="1" x14ac:dyDescent="0.25">
      <c r="B5" s="1579" t="s">
        <v>2</v>
      </c>
      <c r="C5" s="1579"/>
      <c r="D5" s="1579"/>
      <c r="E5" s="1579"/>
      <c r="F5" s="1579"/>
      <c r="G5" s="1579"/>
      <c r="H5" s="1579"/>
      <c r="I5" s="1579"/>
      <c r="J5" s="1579"/>
      <c r="K5" s="1579"/>
      <c r="L5" s="1579"/>
      <c r="M5" s="1579"/>
      <c r="N5" s="1579"/>
      <c r="O5" s="1579"/>
      <c r="P5" s="1579"/>
      <c r="Q5" s="1579"/>
      <c r="R5" s="1579"/>
      <c r="S5" s="1579"/>
      <c r="T5" s="1579"/>
      <c r="U5" s="1579"/>
      <c r="V5" s="1579"/>
      <c r="W5" s="1579"/>
      <c r="X5" s="1579"/>
      <c r="Y5" s="1579"/>
      <c r="Z5" s="1579"/>
      <c r="AA5" s="1579"/>
      <c r="AB5" s="1579"/>
      <c r="AC5" s="1579"/>
      <c r="AD5" s="1579"/>
      <c r="AE5" s="1579"/>
      <c r="AF5" s="1579"/>
    </row>
    <row r="6" spans="2:32" ht="21" customHeight="1" x14ac:dyDescent="0.25">
      <c r="B6" s="1579" t="s">
        <v>729</v>
      </c>
      <c r="C6" s="1579"/>
      <c r="D6" s="1579"/>
      <c r="E6" s="1579"/>
      <c r="F6" s="1579"/>
      <c r="G6" s="1579"/>
      <c r="H6" s="1579"/>
      <c r="I6" s="1579"/>
      <c r="J6" s="1579"/>
      <c r="K6" s="1579"/>
      <c r="L6" s="1579"/>
      <c r="M6" s="1579"/>
      <c r="N6" s="1579"/>
      <c r="O6" s="1579"/>
      <c r="P6" s="1579"/>
      <c r="Q6" s="1579"/>
      <c r="R6" s="1579"/>
      <c r="S6" s="1579"/>
      <c r="T6" s="1579"/>
      <c r="U6" s="1579"/>
      <c r="V6" s="1579"/>
      <c r="W6" s="1579"/>
      <c r="X6" s="1579"/>
      <c r="Y6" s="1579"/>
      <c r="Z6" s="1579"/>
      <c r="AA6" s="1579"/>
      <c r="AB6" s="1579"/>
      <c r="AC6" s="1579"/>
      <c r="AD6" s="1579"/>
      <c r="AE6" s="1579"/>
      <c r="AF6" s="1579"/>
    </row>
    <row r="7" spans="2:32" ht="21" customHeight="1" x14ac:dyDescent="0.25">
      <c r="B7" s="1579" t="s">
        <v>730</v>
      </c>
      <c r="C7" s="1579"/>
      <c r="D7" s="1579"/>
      <c r="E7" s="1579"/>
      <c r="F7" s="1579"/>
      <c r="G7" s="1579"/>
      <c r="H7" s="1579"/>
      <c r="I7" s="1579"/>
      <c r="J7" s="1579"/>
      <c r="K7" s="1579"/>
      <c r="L7" s="1579"/>
      <c r="M7" s="1579"/>
      <c r="N7" s="1579"/>
      <c r="O7" s="1579"/>
      <c r="P7" s="1579"/>
      <c r="Q7" s="1579"/>
      <c r="R7" s="1579"/>
      <c r="S7" s="1579"/>
      <c r="T7" s="1579"/>
      <c r="U7" s="1579"/>
      <c r="V7" s="1579"/>
      <c r="W7" s="1579"/>
      <c r="X7" s="1579"/>
      <c r="Y7" s="1579"/>
      <c r="Z7" s="1579"/>
      <c r="AA7" s="1579"/>
      <c r="AB7" s="1579"/>
      <c r="AC7" s="1579"/>
      <c r="AD7" s="1579"/>
      <c r="AE7" s="1579"/>
      <c r="AF7" s="1579"/>
    </row>
    <row r="8" spans="2:32" ht="21" customHeight="1" x14ac:dyDescent="0.25">
      <c r="B8" s="1579" t="s">
        <v>4</v>
      </c>
      <c r="C8" s="1579"/>
      <c r="D8" s="1579"/>
      <c r="E8" s="1579"/>
      <c r="F8" s="1579"/>
      <c r="G8" s="1579"/>
      <c r="H8" s="1579"/>
      <c r="I8" s="1579"/>
      <c r="J8" s="1579"/>
      <c r="K8" s="1579"/>
      <c r="L8" s="1579"/>
      <c r="M8" s="1579"/>
      <c r="N8" s="1579"/>
      <c r="O8" s="1579"/>
      <c r="P8" s="1579"/>
      <c r="Q8" s="1579"/>
      <c r="R8" s="1579"/>
      <c r="S8" s="1579"/>
      <c r="T8" s="1579"/>
      <c r="U8" s="1579"/>
      <c r="V8" s="1579"/>
      <c r="W8" s="1579"/>
      <c r="X8" s="1579"/>
      <c r="Y8" s="1579"/>
      <c r="Z8" s="1579"/>
      <c r="AA8" s="1579"/>
      <c r="AB8" s="1579"/>
      <c r="AC8" s="1579"/>
      <c r="AD8" s="1579"/>
      <c r="AE8" s="1579"/>
      <c r="AF8" s="1579"/>
    </row>
    <row r="9" spans="2:32" ht="6.75" customHeight="1" x14ac:dyDescent="0.25">
      <c r="B9" s="153"/>
      <c r="C9" s="153"/>
      <c r="D9" s="140"/>
      <c r="E9" s="183"/>
      <c r="F9" s="153"/>
      <c r="G9" s="140"/>
      <c r="H9" s="183"/>
      <c r="I9" s="153"/>
      <c r="J9" s="176"/>
      <c r="K9" s="140"/>
      <c r="L9" s="183"/>
      <c r="M9" s="153"/>
      <c r="N9" s="176"/>
      <c r="O9" s="153"/>
      <c r="P9" s="176"/>
      <c r="Q9" s="1458"/>
      <c r="R9" s="176"/>
      <c r="S9" s="153"/>
      <c r="T9" s="176"/>
      <c r="U9" s="153"/>
      <c r="V9" s="176"/>
      <c r="W9" s="153"/>
      <c r="X9" s="176"/>
      <c r="Y9" s="140"/>
      <c r="Z9" s="183"/>
      <c r="AA9" s="153"/>
      <c r="AB9" s="176"/>
      <c r="AC9" s="153"/>
      <c r="AD9" s="176"/>
      <c r="AE9" s="153"/>
      <c r="AF9" s="176"/>
    </row>
    <row r="10" spans="2:32" ht="25.5" customHeight="1" x14ac:dyDescent="0.25">
      <c r="B10" s="1588" t="s">
        <v>56</v>
      </c>
      <c r="C10" s="31"/>
      <c r="D10" s="1610" t="s">
        <v>57</v>
      </c>
      <c r="E10" s="1590" t="s">
        <v>57</v>
      </c>
      <c r="F10" s="31"/>
      <c r="G10" s="1591" t="s">
        <v>59</v>
      </c>
      <c r="H10" s="1592"/>
      <c r="I10" s="1592"/>
      <c r="J10" s="1592"/>
      <c r="K10" s="1592"/>
      <c r="L10" s="1592"/>
      <c r="M10" s="1592"/>
      <c r="N10" s="1592"/>
      <c r="O10" s="1592"/>
      <c r="P10" s="1593"/>
      <c r="Q10" s="1470"/>
      <c r="R10" s="1470"/>
      <c r="S10" s="1470"/>
      <c r="T10" s="1470"/>
      <c r="U10" s="1588" t="s">
        <v>63</v>
      </c>
      <c r="V10" s="1584" t="s">
        <v>63</v>
      </c>
      <c r="W10" s="1588" t="s">
        <v>64</v>
      </c>
      <c r="X10" s="1584" t="s">
        <v>64</v>
      </c>
      <c r="Y10" s="1594" t="s">
        <v>65</v>
      </c>
      <c r="Z10" s="1595"/>
      <c r="AA10" s="1595"/>
      <c r="AB10" s="1595"/>
      <c r="AC10" s="1595"/>
      <c r="AD10" s="1595"/>
      <c r="AE10" s="1595"/>
      <c r="AF10" s="1596"/>
    </row>
    <row r="11" spans="2:32" ht="45.75" customHeight="1" x14ac:dyDescent="0.25">
      <c r="B11" s="1588"/>
      <c r="C11" s="31"/>
      <c r="D11" s="1610"/>
      <c r="E11" s="1590"/>
      <c r="F11" s="31"/>
      <c r="G11" s="1591" t="s">
        <v>58</v>
      </c>
      <c r="H11" s="1586" t="s">
        <v>58</v>
      </c>
      <c r="I11" s="1588" t="s">
        <v>76</v>
      </c>
      <c r="J11" s="1584" t="s">
        <v>76</v>
      </c>
      <c r="K11" s="1588" t="s">
        <v>60</v>
      </c>
      <c r="L11" s="1584" t="s">
        <v>60</v>
      </c>
      <c r="M11" s="1611" t="s">
        <v>61</v>
      </c>
      <c r="N11" s="1582" t="s">
        <v>61</v>
      </c>
      <c r="O11" s="1611" t="s">
        <v>62</v>
      </c>
      <c r="P11" s="1582" t="s">
        <v>62</v>
      </c>
      <c r="Q11" s="1591" t="s">
        <v>80</v>
      </c>
      <c r="R11" s="1592"/>
      <c r="S11" s="1592"/>
      <c r="T11" s="1593"/>
      <c r="U11" s="1588"/>
      <c r="V11" s="1584"/>
      <c r="W11" s="1588"/>
      <c r="X11" s="1584"/>
      <c r="Y11" s="1588" t="s">
        <v>66</v>
      </c>
      <c r="Z11" s="1584" t="s">
        <v>66</v>
      </c>
      <c r="AA11" s="1588" t="s">
        <v>67</v>
      </c>
      <c r="AB11" s="1584" t="s">
        <v>67</v>
      </c>
      <c r="AC11" s="1591" t="s">
        <v>80</v>
      </c>
      <c r="AD11" s="1592"/>
      <c r="AE11" s="1592"/>
      <c r="AF11" s="1593"/>
    </row>
    <row r="12" spans="2:32" s="5" customFormat="1" ht="30" customHeight="1" x14ac:dyDescent="0.25">
      <c r="B12" s="1588"/>
      <c r="C12" s="136"/>
      <c r="D12" s="1610"/>
      <c r="E12" s="1590"/>
      <c r="F12" s="136"/>
      <c r="G12" s="1591"/>
      <c r="H12" s="1586"/>
      <c r="I12" s="1588"/>
      <c r="J12" s="1584"/>
      <c r="K12" s="1588"/>
      <c r="L12" s="1584"/>
      <c r="M12" s="1611"/>
      <c r="N12" s="1582"/>
      <c r="O12" s="1611"/>
      <c r="P12" s="1582"/>
      <c r="Q12" s="154" t="s">
        <v>68</v>
      </c>
      <c r="R12" s="195" t="s">
        <v>68</v>
      </c>
      <c r="S12" s="154" t="s">
        <v>69</v>
      </c>
      <c r="T12" s="195" t="s">
        <v>69</v>
      </c>
      <c r="U12" s="1588"/>
      <c r="V12" s="1584"/>
      <c r="W12" s="1588"/>
      <c r="X12" s="1584"/>
      <c r="Y12" s="1588"/>
      <c r="Z12" s="1584"/>
      <c r="AA12" s="1588"/>
      <c r="AB12" s="1584"/>
      <c r="AC12" s="154" t="s">
        <v>68</v>
      </c>
      <c r="AD12" s="195" t="s">
        <v>68</v>
      </c>
      <c r="AE12" s="154" t="s">
        <v>69</v>
      </c>
      <c r="AF12" s="195" t="s">
        <v>69</v>
      </c>
    </row>
    <row r="13" spans="2:32" s="5" customFormat="1" ht="21.75" customHeight="1" x14ac:dyDescent="0.25">
      <c r="D13" s="1469"/>
      <c r="E13" s="1164"/>
      <c r="H13" s="184"/>
      <c r="Q13" s="1459"/>
    </row>
    <row r="14" spans="2:32" s="31" customFormat="1" ht="24" customHeight="1" x14ac:dyDescent="0.25">
      <c r="B14" s="1165" t="s">
        <v>17</v>
      </c>
      <c r="C14" s="1166"/>
      <c r="D14" s="13">
        <f>D16+D20+D28+D30+D36+D38+D40+D42+D44</f>
        <v>10963411237.75</v>
      </c>
      <c r="E14" s="1454">
        <f>(((D16*E16)+(D20*E20)+(D28*E28)+(D30*E30)+(D36*E36)+(D38*E38)+(D40*E40)+(D42*E42)+(D44*E44))/D14)</f>
        <v>4.3900000000000002E-2</v>
      </c>
      <c r="F14" s="1166"/>
      <c r="G14" s="13">
        <f>G16+G20+G28+G30+G36+G38+G40+G42+G44</f>
        <v>8854087018.2800007</v>
      </c>
      <c r="H14" s="1450">
        <f>((G16*H16)+(G20*H20)+(G28*H28)+(G30*H30)+(G36*H36)+(G38*H38)+(G40*H40)+(G42*H42)+(G44*H44))/G14</f>
        <v>4.4699999999999997E-2</v>
      </c>
      <c r="I14" s="13">
        <f>I16+I20+I28+I30+I36+I38+I40+I42+I44</f>
        <v>1087700575.54</v>
      </c>
      <c r="J14" s="1450">
        <f>((I16*J16)+(I20*J20)+(I28*J28)+(I30*J30)+(I36*J36)+(I38*J38)+(I40*J40)+(I42*J42)+(I44*J44))/I14</f>
        <v>4.1700000000000001E-2</v>
      </c>
      <c r="K14" s="13">
        <f>K16+K20+K28+K30+K36+K38+K40+K42+K44</f>
        <v>7766386442.7399998</v>
      </c>
      <c r="L14" s="1450">
        <f>((K16*L16)+(K20*L20)+(K28*L28)+(K30*L30)+(K36*L36)+(K38*L38)+(K40*L40)+(K42*L42)+(K44*L44))/K14</f>
        <v>4.5199999999999997E-2</v>
      </c>
      <c r="M14" s="13">
        <f>M16+M20+M28+M30+M36+M38+M40+M42+M44</f>
        <v>2585796366.0500002</v>
      </c>
      <c r="N14" s="1450">
        <f>((M16*N16)+(M20*N20)+(M28*N28)+(M30*N30)+(M36*N36)+(M38*N38)+(M40*N40)+(M42*N42)+(M44*N44))/M14</f>
        <v>4.53E-2</v>
      </c>
      <c r="O14" s="13">
        <f>O16+O20+O28+O30+O36+O38+O40+O42+O44</f>
        <v>4966973640.4200001</v>
      </c>
      <c r="P14" s="1450">
        <f>((O16*P16)+(O20*P20)+(O28*P28)+(O30*P30)+(O36*P36)+(O38*P38)+(O40*P40)+(O42*P42)+(O44*P44))/O14</f>
        <v>4.53E-2</v>
      </c>
      <c r="Q14" s="13">
        <f>Q16+Q20+Q28+Q30+Q36+Q38+Q40+Q42+Q44</f>
        <v>196320243.08000001</v>
      </c>
      <c r="R14" s="1450">
        <f>((Q16*R16)+(Q20*R20)+(Q28*R28)+(Q30*R30)+(Q36*R36)+(Q38*R38)+(Q40*R40)+(Q42*R42)+(Q44*R44))/Q14</f>
        <v>4.8300000000000003E-2</v>
      </c>
      <c r="S14" s="13">
        <f>S16+S20+S28+S30+S36+S38+S40+S42+S44</f>
        <v>17296193.190000001</v>
      </c>
      <c r="T14" s="1450">
        <f>((S16*T16)+(S20*T20)+(S28*T28)+(S30*T30)+(S36*T36)+(S38*T38)+(S40*T40)+(S42*T42)+(S44*T44))/S14</f>
        <v>4.3799999999999999E-2</v>
      </c>
      <c r="U14" s="13">
        <f>U16+U20+U28+U30+U36+U38+U40+U42+U44</f>
        <v>163685776.30000001</v>
      </c>
      <c r="V14" s="1450">
        <f>((U16*V16)+(U20*V20)+(U28*V28)+(U30*V30)+(U36*V36)+(U38*V38)+(U40*V40)+(U42*V42)+(U44*V44))/U14</f>
        <v>3.5900000000000001E-2</v>
      </c>
      <c r="W14" s="13">
        <f>W16+W20+W28+W30+W36+W38+W40+W42+W44</f>
        <v>1190924601.5</v>
      </c>
      <c r="X14" s="1450">
        <f>((W16*X16)+(W20*X20)+(W28*X28)+(W30*X30)+(W36*X36)+(W38*X38)+(W40*X40)+(W42*X42)+(W44*X44))/W14</f>
        <v>3.5999999999999997E-2</v>
      </c>
      <c r="Y14" s="13">
        <f>Y16+Y20+Y28+Y30+Y36+Y38+Y40+Y42+Y44</f>
        <v>754713841.66999996</v>
      </c>
      <c r="Z14" s="1450">
        <f>((Y16*Z16)+(Y20*Z20)+(Y28*Z28)+(Y30*Z30)+(Y36*Z36)+(Y38*Z38)+(Y40*Z40)+(Y42*Z42)+(Y44*Z44))/Y14</f>
        <v>4.7800000000000002E-2</v>
      </c>
      <c r="AA14" s="13">
        <f>AA16+AA20+AA28+AA30+AA36+AA38+AA40+AA42+AA44</f>
        <v>754713841.66999996</v>
      </c>
      <c r="AB14" s="1450">
        <f>((AA16*AB16)+(AA20*AB20)+(AA28*AB28)+(AA30*AB30)+(AA36*AB36)+(AA38*AB38)+(AA40*AB40)+(AA42*AB42)+(AA44*AB44))/AA14</f>
        <v>4.7800000000000002E-2</v>
      </c>
      <c r="AC14" s="13">
        <f>AC16+AC20+AC28+AC30+AC36+AC38+AC40+AC42+AC44</f>
        <v>0</v>
      </c>
      <c r="AD14" s="1450">
        <v>0</v>
      </c>
      <c r="AE14" s="13">
        <f>AE16+AE20+AE28+AE30+AE36+AE38+AE40+AE42+AE44</f>
        <v>0</v>
      </c>
      <c r="AF14" s="1450">
        <v>0</v>
      </c>
    </row>
    <row r="15" spans="2:32" s="5" customFormat="1" ht="6.75" customHeight="1" x14ac:dyDescent="0.25">
      <c r="D15" s="1164"/>
      <c r="E15" s="1167"/>
      <c r="H15" s="1168"/>
      <c r="J15" s="1168"/>
      <c r="L15" s="1168"/>
      <c r="N15" s="1168"/>
      <c r="P15" s="1168"/>
      <c r="Q15" s="1459"/>
      <c r="R15" s="1168"/>
      <c r="T15" s="1168"/>
      <c r="V15" s="1168"/>
      <c r="X15" s="1168"/>
      <c r="Y15" s="1164"/>
      <c r="Z15" s="1167"/>
      <c r="AB15" s="1168"/>
      <c r="AD15" s="1168"/>
      <c r="AF15" s="1168"/>
    </row>
    <row r="16" spans="2:32" s="6" customFormat="1" ht="15.5" x14ac:dyDescent="0.25">
      <c r="B16" s="794" t="s">
        <v>52</v>
      </c>
      <c r="C16" s="587"/>
      <c r="D16" s="135">
        <f>SUM(D17:D18)</f>
        <v>6134462647.5</v>
      </c>
      <c r="E16" s="1451">
        <f>((D17*E17)+(D18*E18))/D16</f>
        <v>4.3099999999999999E-2</v>
      </c>
      <c r="F16" s="587"/>
      <c r="G16" s="135">
        <f>SUM(G17:G18)</f>
        <v>4196834837.5300002</v>
      </c>
      <c r="H16" s="1451">
        <f>((G17*H17)+(G18*H18))/G16</f>
        <v>4.5100000000000001E-2</v>
      </c>
      <c r="I16" s="135">
        <f t="shared" ref="I16:O16" si="0">SUM(I17:I18)</f>
        <v>465739593.38999999</v>
      </c>
      <c r="J16" s="1451">
        <f>((I17*J17)+(I18*J18))/I16</f>
        <v>3.6700000000000003E-2</v>
      </c>
      <c r="K16" s="135">
        <f t="shared" si="0"/>
        <v>3731095244.1399999</v>
      </c>
      <c r="L16" s="1451">
        <f>((K17*L17)+(K18*L18))/K16</f>
        <v>4.6100000000000002E-2</v>
      </c>
      <c r="M16" s="135">
        <f t="shared" si="0"/>
        <v>1291034279.04</v>
      </c>
      <c r="N16" s="1451">
        <f>((M17*N17)+(M18*N18))/M16</f>
        <v>4.58E-2</v>
      </c>
      <c r="O16" s="135">
        <f t="shared" si="0"/>
        <v>2297609729.79</v>
      </c>
      <c r="P16" s="1451">
        <f>((O17*P17)+(O18*P18))/O16</f>
        <v>4.6300000000000001E-2</v>
      </c>
      <c r="Q16" s="135">
        <f>SUM(Q17:Q18)</f>
        <v>127891362.05</v>
      </c>
      <c r="R16" s="1451">
        <f>((Q17*R17)+(Q18*R18))/Q16</f>
        <v>4.6899999999999997E-2</v>
      </c>
      <c r="S16" s="135">
        <f>SUM(S17:S18)</f>
        <v>14559873.26</v>
      </c>
      <c r="T16" s="1451">
        <f>((S17*T17)+(S18*T18))/S16</f>
        <v>4.53E-2</v>
      </c>
      <c r="U16" s="135">
        <f>SUM(U17:U18)</f>
        <v>134028366.8</v>
      </c>
      <c r="V16" s="1451">
        <f>((U17*V17)+(U18*V18))/U16</f>
        <v>2.98E-2</v>
      </c>
      <c r="W16" s="135">
        <f t="shared" ref="W16:AC16" si="1">SUM(W17:W18)</f>
        <v>1121542601.5</v>
      </c>
      <c r="X16" s="1451">
        <f>((W17*X17)+(W18*X18))/W16</f>
        <v>3.4700000000000002E-2</v>
      </c>
      <c r="Y16" s="135">
        <f t="shared" si="1"/>
        <v>682056841.66999996</v>
      </c>
      <c r="Z16" s="1451">
        <f>((Y17*Z17)+(Y18*Z18))/Y16</f>
        <v>4.6800000000000001E-2</v>
      </c>
      <c r="AA16" s="135">
        <f t="shared" si="1"/>
        <v>682056841.66999996</v>
      </c>
      <c r="AB16" s="1451">
        <f>((AA17*AB17)+(AA18*AB18))/AA16</f>
        <v>4.6800000000000001E-2</v>
      </c>
      <c r="AC16" s="135">
        <f t="shared" si="1"/>
        <v>0</v>
      </c>
      <c r="AD16" s="1451">
        <v>0</v>
      </c>
      <c r="AE16" s="135">
        <f>SUM(AE17:AE18)</f>
        <v>0</v>
      </c>
      <c r="AF16" s="1451">
        <v>0</v>
      </c>
    </row>
    <row r="17" spans="2:32" s="142" customFormat="1" ht="15.5" x14ac:dyDescent="0.25">
      <c r="B17" s="783" t="s">
        <v>20</v>
      </c>
      <c r="C17" s="795"/>
      <c r="D17" s="787">
        <f>G17+U17+W17+Y17</f>
        <v>3429732915.73</v>
      </c>
      <c r="E17" s="899">
        <f>((G17*H17)+(U17*V17)+(W17*X17)+(Y17*Z17))/D17</f>
        <v>4.1399999999999999E-2</v>
      </c>
      <c r="F17" s="587"/>
      <c r="G17" s="787">
        <f>I17+K17</f>
        <v>2515063501.4699998</v>
      </c>
      <c r="H17" s="899">
        <f>((I17*J17)+(K17*L17))/G17</f>
        <v>4.41E-2</v>
      </c>
      <c r="I17" s="787">
        <v>329454350.22000003</v>
      </c>
      <c r="J17" s="899">
        <v>3.2500000000000001E-2</v>
      </c>
      <c r="K17" s="787">
        <f>M17+O17+Q17+S17</f>
        <v>2185609151.25</v>
      </c>
      <c r="L17" s="899">
        <f>((M17*N17)+(O17*P17)+(Q17*R17)+(S17*T17))/K17</f>
        <v>4.58E-2</v>
      </c>
      <c r="M17" s="787">
        <v>784259267.57000005</v>
      </c>
      <c r="N17" s="899">
        <v>4.4900000000000002E-2</v>
      </c>
      <c r="O17" s="787">
        <v>1303543839.46</v>
      </c>
      <c r="P17" s="899">
        <v>4.65E-2</v>
      </c>
      <c r="Q17" s="787">
        <v>88882518.209999993</v>
      </c>
      <c r="R17" s="899">
        <v>4.4600000000000001E-2</v>
      </c>
      <c r="S17" s="787">
        <v>8923526.0099999998</v>
      </c>
      <c r="T17" s="899">
        <v>4.0599999999999997E-2</v>
      </c>
      <c r="U17" s="787">
        <v>102554675.66</v>
      </c>
      <c r="V17" s="899">
        <v>3.0200000000000001E-2</v>
      </c>
      <c r="W17" s="787">
        <v>651999094.04999995</v>
      </c>
      <c r="X17" s="899">
        <v>3.27E-2</v>
      </c>
      <c r="Y17" s="584">
        <f>AA17+AC17+AE17</f>
        <v>160115644.55000001</v>
      </c>
      <c r="Z17" s="897">
        <f>((AA17*AB17)+(AC17*AD17)+(AE17*AF17))/Y17</f>
        <v>4.1000000000000002E-2</v>
      </c>
      <c r="AA17" s="787">
        <v>160115644.55000001</v>
      </c>
      <c r="AB17" s="899">
        <v>4.1000000000000002E-2</v>
      </c>
      <c r="AC17" s="787">
        <v>0</v>
      </c>
      <c r="AD17" s="899">
        <v>0</v>
      </c>
      <c r="AE17" s="787">
        <v>0</v>
      </c>
      <c r="AF17" s="899">
        <v>0</v>
      </c>
    </row>
    <row r="18" spans="2:32" s="142" customFormat="1" ht="15.5" x14ac:dyDescent="0.25">
      <c r="B18" s="783" t="s">
        <v>21</v>
      </c>
      <c r="C18" s="795"/>
      <c r="D18" s="787">
        <f>G18+U18+W18+Y18</f>
        <v>2704729731.77</v>
      </c>
      <c r="E18" s="899">
        <f>((G18*H18)+(U18*V18)+(W18*X18)+(Y18*Z18))/D18</f>
        <v>4.5199999999999997E-2</v>
      </c>
      <c r="F18" s="587"/>
      <c r="G18" s="787">
        <f>I18+K18</f>
        <v>1681771336.0599999</v>
      </c>
      <c r="H18" s="899">
        <f>((I18*J18)+(K18*L18))/G18</f>
        <v>4.6600000000000003E-2</v>
      </c>
      <c r="I18" s="787">
        <v>136285243.16999999</v>
      </c>
      <c r="J18" s="899">
        <v>4.6800000000000001E-2</v>
      </c>
      <c r="K18" s="787">
        <f>M18+O18+Q18+S18</f>
        <v>1545486092.8900001</v>
      </c>
      <c r="L18" s="899">
        <f>((M18*N18)+(O18*P18)+(Q18*R18)+(S18*T18))/K18</f>
        <v>4.6600000000000003E-2</v>
      </c>
      <c r="M18" s="787">
        <v>506775011.47000003</v>
      </c>
      <c r="N18" s="899">
        <v>4.7199999999999999E-2</v>
      </c>
      <c r="O18" s="787">
        <v>994065890.33000004</v>
      </c>
      <c r="P18" s="899">
        <v>4.6100000000000002E-2</v>
      </c>
      <c r="Q18" s="787">
        <v>39008843.840000004</v>
      </c>
      <c r="R18" s="899">
        <v>5.2200000000000003E-2</v>
      </c>
      <c r="S18" s="787">
        <v>5636347.25</v>
      </c>
      <c r="T18" s="899">
        <v>5.28E-2</v>
      </c>
      <c r="U18" s="787">
        <v>31473691.140000001</v>
      </c>
      <c r="V18" s="899">
        <v>2.8299999999999999E-2</v>
      </c>
      <c r="W18" s="787">
        <v>469543507.44999999</v>
      </c>
      <c r="X18" s="899">
        <v>3.7499999999999999E-2</v>
      </c>
      <c r="Y18" s="584">
        <f>AA18+AC18+AE18</f>
        <v>521941197.12</v>
      </c>
      <c r="Z18" s="1452">
        <f>((AA18*AB18)+(AC18*AD18)+(AE18*AF18))/Y18</f>
        <v>4.8599999999999997E-2</v>
      </c>
      <c r="AA18" s="1455">
        <v>521941197.12</v>
      </c>
      <c r="AB18" s="1456">
        <v>4.8599999999999997E-2</v>
      </c>
      <c r="AC18" s="787">
        <v>0</v>
      </c>
      <c r="AD18" s="899">
        <v>0</v>
      </c>
      <c r="AE18" s="787">
        <v>0</v>
      </c>
      <c r="AF18" s="899">
        <v>0</v>
      </c>
    </row>
    <row r="19" spans="2:32" ht="9.75" customHeight="1" x14ac:dyDescent="0.25">
      <c r="B19" s="783"/>
      <c r="D19" s="584"/>
      <c r="E19" s="897"/>
      <c r="G19" s="787"/>
      <c r="H19" s="899"/>
      <c r="I19" s="788"/>
      <c r="J19" s="1161"/>
      <c r="K19" s="788"/>
      <c r="L19" s="1161"/>
      <c r="M19" s="788"/>
      <c r="N19" s="1161"/>
      <c r="O19" s="788"/>
      <c r="P19" s="1161"/>
      <c r="Q19" s="788"/>
      <c r="R19" s="1161"/>
      <c r="S19" s="788"/>
      <c r="T19" s="1161"/>
      <c r="U19" s="788"/>
      <c r="V19" s="1161"/>
      <c r="W19" s="788"/>
      <c r="X19" s="1161"/>
      <c r="Y19" s="788"/>
      <c r="Z19" s="1161"/>
      <c r="AA19" s="788"/>
      <c r="AB19" s="1161"/>
      <c r="AC19" s="788"/>
      <c r="AD19" s="788"/>
      <c r="AE19" s="788"/>
      <c r="AF19" s="1161"/>
    </row>
    <row r="20" spans="2:32" s="6" customFormat="1" ht="20.25" customHeight="1" x14ac:dyDescent="0.25">
      <c r="B20" s="797" t="s">
        <v>22</v>
      </c>
      <c r="C20" s="587"/>
      <c r="D20" s="789">
        <f>SUM(D21:D26)</f>
        <v>3882327112.8899999</v>
      </c>
      <c r="E20" s="898">
        <f>((D21*E21)+(D22*E22)+(D23*E23)+(D24*E24)+(D25*E25)+(D26*E26))/D20</f>
        <v>4.4299999999999999E-2</v>
      </c>
      <c r="F20" s="587"/>
      <c r="G20" s="789">
        <f>SUM(G21:G26)</f>
        <v>3852669703.3899999</v>
      </c>
      <c r="H20" s="898">
        <f>((G21*H21)+(G22*H22)+(G23*H23)+(G24*H24)+(G25*H25)+(G26*H26))/G20</f>
        <v>4.41E-2</v>
      </c>
      <c r="I20" s="789">
        <f>SUM(I21:I26)</f>
        <v>621960982.14999998</v>
      </c>
      <c r="J20" s="898">
        <f>((I21*J21)+(I22*J22)+(I23*J23)+(I24*J24)+(I25*J25)+(I26*J26))/I20</f>
        <v>4.5499999999999999E-2</v>
      </c>
      <c r="K20" s="789">
        <f>SUM(K21:K26)</f>
        <v>3230708721.2399998</v>
      </c>
      <c r="L20" s="898">
        <f>((K21*L21)+(K22*L22)+(K23*L23)+(K24*L24)+(K25*L25)+(K26*L26))/K20</f>
        <v>4.3900000000000002E-2</v>
      </c>
      <c r="M20" s="789">
        <f>SUM(M21:M26)</f>
        <v>1027874188.89</v>
      </c>
      <c r="N20" s="898">
        <f>((M21*N21)+(M22*N22)+(M23*N23)+(M24*N24)+(M25*N25)+(M26*N26))/M20</f>
        <v>4.4999999999999998E-2</v>
      </c>
      <c r="O20" s="789">
        <f>SUM(O21:O26)</f>
        <v>2164669331.3899999</v>
      </c>
      <c r="P20" s="898">
        <f>((O21*P21)+(O22*P22)+(O23*P23)+(O24*P24)+(O25*P25)+(O26*P26))/O20</f>
        <v>4.4200000000000003E-2</v>
      </c>
      <c r="Q20" s="789">
        <f>SUM(Q21:Q26)</f>
        <v>35428881.030000001</v>
      </c>
      <c r="R20" s="898">
        <f>((Q21*R21)+(Q22*R22)+(Q23*R23)+(Q24*R24)+(Q25*R25)+(Q26*R26))/Q20</f>
        <v>3.4799999999999998E-2</v>
      </c>
      <c r="S20" s="789">
        <f>SUM(S21:S26)</f>
        <v>2736319.93</v>
      </c>
      <c r="T20" s="898">
        <f>((S21*T21)+(S22*T22)+(S23*T23)+(S24*T24)+(S25*T25)+(S26*T26))/S20</f>
        <v>3.5999999999999997E-2</v>
      </c>
      <c r="U20" s="789">
        <f>SUM(U21:U26)</f>
        <v>29657409.5</v>
      </c>
      <c r="V20" s="898">
        <f>(((U21*V21)+(U22*V22)+(U23*V23)+(U24*V24)+(U25*V25)+(U26*V26))/U20)</f>
        <v>6.3700000000000007E-2</v>
      </c>
      <c r="W20" s="789">
        <f>SUM(W21:W26)</f>
        <v>0</v>
      </c>
      <c r="X20" s="898">
        <v>0</v>
      </c>
      <c r="Y20" s="789">
        <f>SUM(Y21:Y26)</f>
        <v>0</v>
      </c>
      <c r="Z20" s="898">
        <v>0</v>
      </c>
      <c r="AA20" s="789">
        <f>SUM(AA21:AA26)</f>
        <v>0</v>
      </c>
      <c r="AB20" s="898">
        <v>0</v>
      </c>
      <c r="AC20" s="789">
        <f>SUM(AC21:AC26)</f>
        <v>0</v>
      </c>
      <c r="AD20" s="898">
        <v>0</v>
      </c>
      <c r="AE20" s="789">
        <v>0</v>
      </c>
      <c r="AF20" s="898">
        <v>0</v>
      </c>
    </row>
    <row r="21" spans="2:32" s="6" customFormat="1" ht="20.25" customHeight="1" x14ac:dyDescent="0.25">
      <c r="B21" s="783" t="s">
        <v>29</v>
      </c>
      <c r="C21" s="587"/>
      <c r="D21" s="787">
        <f t="shared" ref="D21:D26" si="2">G21+U21+W21+Y21</f>
        <v>0</v>
      </c>
      <c r="E21" s="899">
        <v>0</v>
      </c>
      <c r="F21" s="161"/>
      <c r="G21" s="787">
        <f>I21+K21</f>
        <v>0</v>
      </c>
      <c r="H21" s="899">
        <v>0</v>
      </c>
      <c r="I21" s="787">
        <v>0</v>
      </c>
      <c r="J21" s="899">
        <v>0</v>
      </c>
      <c r="K21" s="787">
        <f>M21+O21</f>
        <v>0</v>
      </c>
      <c r="L21" s="899">
        <v>0</v>
      </c>
      <c r="M21" s="787">
        <v>0</v>
      </c>
      <c r="N21" s="899">
        <v>0</v>
      </c>
      <c r="O21" s="787">
        <v>0</v>
      </c>
      <c r="P21" s="899">
        <v>0</v>
      </c>
      <c r="Q21" s="787">
        <v>0</v>
      </c>
      <c r="R21" s="899">
        <v>0</v>
      </c>
      <c r="S21" s="787">
        <v>0</v>
      </c>
      <c r="T21" s="899">
        <v>0</v>
      </c>
      <c r="U21" s="787">
        <v>0</v>
      </c>
      <c r="V21" s="899">
        <v>0</v>
      </c>
      <c r="W21" s="787">
        <v>0</v>
      </c>
      <c r="X21" s="899">
        <v>0</v>
      </c>
      <c r="Y21" s="787">
        <v>0</v>
      </c>
      <c r="Z21" s="899">
        <v>0</v>
      </c>
      <c r="AA21" s="787">
        <v>0</v>
      </c>
      <c r="AB21" s="899">
        <v>0</v>
      </c>
      <c r="AC21" s="787">
        <v>0</v>
      </c>
      <c r="AD21" s="899">
        <v>0</v>
      </c>
      <c r="AE21" s="787">
        <v>0</v>
      </c>
      <c r="AF21" s="899">
        <v>0</v>
      </c>
    </row>
    <row r="22" spans="2:32" s="6" customFormat="1" ht="20.25" customHeight="1" x14ac:dyDescent="0.25">
      <c r="B22" s="783" t="s">
        <v>24</v>
      </c>
      <c r="C22" s="587"/>
      <c r="D22" s="787">
        <f t="shared" si="2"/>
        <v>1804890684.01</v>
      </c>
      <c r="E22" s="899">
        <f>((G22*H22)+(U22*V22)+(W22*X22)+(Y22*Z22))/D22</f>
        <v>4.2599999999999999E-2</v>
      </c>
      <c r="F22" s="161"/>
      <c r="G22" s="787">
        <f t="shared" ref="G22:G23" si="3">I22+K22</f>
        <v>1804890684.01</v>
      </c>
      <c r="H22" s="899">
        <f t="shared" ref="H22:H26" si="4">((I22*J22)+(K22*L22))/G22</f>
        <v>4.2599999999999999E-2</v>
      </c>
      <c r="I22" s="787">
        <f>Hoja9!G16</f>
        <v>586031727.98000002</v>
      </c>
      <c r="J22" s="899">
        <f>Hoja9!I42</f>
        <v>4.58E-2</v>
      </c>
      <c r="K22" s="787">
        <f>M22+O22+Q22+S22</f>
        <v>1218858956.03</v>
      </c>
      <c r="L22" s="899">
        <f t="shared" ref="L22:L26" si="5">((M22*N22)+(O22*P22))/K22</f>
        <v>4.1099999999999998E-2</v>
      </c>
      <c r="M22" s="787">
        <v>438968357.85000002</v>
      </c>
      <c r="N22" s="899">
        <v>4.41E-2</v>
      </c>
      <c r="O22" s="787">
        <v>765896598.17999995</v>
      </c>
      <c r="P22" s="899">
        <v>4.02E-2</v>
      </c>
      <c r="Q22" s="787">
        <v>12386286.890000001</v>
      </c>
      <c r="R22" s="899">
        <v>3.3599999999999998E-2</v>
      </c>
      <c r="S22" s="787">
        <v>1607713.11</v>
      </c>
      <c r="T22" s="899">
        <v>3.3599999999999998E-2</v>
      </c>
      <c r="U22" s="787">
        <v>0</v>
      </c>
      <c r="V22" s="899">
        <v>0</v>
      </c>
      <c r="W22" s="787">
        <v>0</v>
      </c>
      <c r="X22" s="899">
        <v>0</v>
      </c>
      <c r="Y22" s="787">
        <f>AA22+AC22+AE22</f>
        <v>0</v>
      </c>
      <c r="Z22" s="899">
        <v>0</v>
      </c>
      <c r="AA22" s="787">
        <v>0</v>
      </c>
      <c r="AB22" s="899">
        <v>0</v>
      </c>
      <c r="AC22" s="787">
        <v>0</v>
      </c>
      <c r="AD22" s="899">
        <v>0</v>
      </c>
      <c r="AE22" s="787">
        <v>0</v>
      </c>
      <c r="AF22" s="899">
        <v>0</v>
      </c>
    </row>
    <row r="23" spans="2:32" s="142" customFormat="1" ht="15.5" x14ac:dyDescent="0.25">
      <c r="B23" s="783" t="s">
        <v>25</v>
      </c>
      <c r="C23" s="784"/>
      <c r="D23" s="787">
        <f t="shared" si="2"/>
        <v>119447893.59999999</v>
      </c>
      <c r="E23" s="899">
        <f t="shared" ref="E23:E25" si="6">((G23*H23)+(U23*V23)+(W23*X23)+(Y23*Z23))/D23</f>
        <v>3.4500000000000003E-2</v>
      </c>
      <c r="F23" s="786"/>
      <c r="G23" s="787">
        <f t="shared" si="3"/>
        <v>119447893.59999999</v>
      </c>
      <c r="H23" s="899">
        <f t="shared" si="4"/>
        <v>3.4500000000000003E-2</v>
      </c>
      <c r="I23" s="787">
        <v>0</v>
      </c>
      <c r="J23" s="899">
        <v>0</v>
      </c>
      <c r="K23" s="787">
        <f>M23+O23+Q23+S23</f>
        <v>119447893.59999999</v>
      </c>
      <c r="L23" s="899">
        <f t="shared" si="5"/>
        <v>3.4500000000000003E-2</v>
      </c>
      <c r="M23" s="787">
        <v>40071821.729999997</v>
      </c>
      <c r="N23" s="899">
        <v>3.7600000000000001E-2</v>
      </c>
      <c r="O23" s="787">
        <v>69510549.359999999</v>
      </c>
      <c r="P23" s="899">
        <v>3.7600000000000001E-2</v>
      </c>
      <c r="Q23" s="787">
        <v>9626529.6600000001</v>
      </c>
      <c r="R23" s="899">
        <v>2.7900000000000001E-2</v>
      </c>
      <c r="S23" s="787">
        <v>238992.85</v>
      </c>
      <c r="T23" s="899">
        <v>2.81E-2</v>
      </c>
      <c r="U23" s="787">
        <v>0</v>
      </c>
      <c r="V23" s="899">
        <v>0</v>
      </c>
      <c r="W23" s="787">
        <v>0</v>
      </c>
      <c r="X23" s="899">
        <v>0</v>
      </c>
      <c r="Y23" s="787">
        <f t="shared" ref="Y23:Y28" si="7">AA23+AC23+AE23</f>
        <v>0</v>
      </c>
      <c r="Z23" s="899">
        <v>0</v>
      </c>
      <c r="AA23" s="787">
        <v>0</v>
      </c>
      <c r="AB23" s="899">
        <v>0</v>
      </c>
      <c r="AC23" s="787">
        <v>0</v>
      </c>
      <c r="AD23" s="899">
        <v>0</v>
      </c>
      <c r="AE23" s="787">
        <v>0</v>
      </c>
      <c r="AF23" s="899">
        <v>0</v>
      </c>
    </row>
    <row r="24" spans="2:32" s="142" customFormat="1" ht="15.5" x14ac:dyDescent="0.25">
      <c r="B24" s="783" t="s">
        <v>26</v>
      </c>
      <c r="C24" s="784"/>
      <c r="D24" s="787">
        <f t="shared" si="2"/>
        <v>1552252535.28</v>
      </c>
      <c r="E24" s="899">
        <f>((G24*H24)+(U24*V24)+(W24*X24)+(Y24*Z24))/D24</f>
        <v>5.0099999999999999E-2</v>
      </c>
      <c r="F24" s="786"/>
      <c r="G24" s="787">
        <f>I24+K24</f>
        <v>1522595125.78</v>
      </c>
      <c r="H24" s="899">
        <f t="shared" si="4"/>
        <v>4.9799999999999997E-2</v>
      </c>
      <c r="I24" s="787">
        <f>Hoja9!G15</f>
        <v>23974008.25</v>
      </c>
      <c r="J24" s="899">
        <f>Hoja9!I15</f>
        <v>4.5199999999999997E-2</v>
      </c>
      <c r="K24" s="787">
        <f>M24+O24+Q24+S24</f>
        <v>1498621117.53</v>
      </c>
      <c r="L24" s="899">
        <f t="shared" si="5"/>
        <v>4.99E-2</v>
      </c>
      <c r="M24" s="787">
        <v>423371153.62</v>
      </c>
      <c r="N24" s="899">
        <v>4.99E-2</v>
      </c>
      <c r="O24" s="787">
        <v>1064887563.55</v>
      </c>
      <c r="P24" s="899">
        <v>5.04E-2</v>
      </c>
      <c r="Q24" s="787">
        <v>9648187.2400000002</v>
      </c>
      <c r="R24" s="899">
        <v>4.5100000000000001E-2</v>
      </c>
      <c r="S24" s="787">
        <v>714213.12</v>
      </c>
      <c r="T24" s="899">
        <v>4.5499999999999999E-2</v>
      </c>
      <c r="U24" s="787">
        <v>29657409.5</v>
      </c>
      <c r="V24" s="899">
        <v>6.3700000000000007E-2</v>
      </c>
      <c r="W24" s="787">
        <v>0</v>
      </c>
      <c r="X24" s="899">
        <v>0</v>
      </c>
      <c r="Y24" s="787">
        <f t="shared" si="7"/>
        <v>0</v>
      </c>
      <c r="Z24" s="899">
        <v>0</v>
      </c>
      <c r="AA24" s="787">
        <v>0</v>
      </c>
      <c r="AB24" s="899">
        <v>0</v>
      </c>
      <c r="AC24" s="787">
        <v>0</v>
      </c>
      <c r="AD24" s="899">
        <v>0</v>
      </c>
      <c r="AE24" s="787">
        <v>0</v>
      </c>
      <c r="AF24" s="899">
        <v>0</v>
      </c>
    </row>
    <row r="25" spans="2:32" s="142" customFormat="1" ht="15.5" x14ac:dyDescent="0.25">
      <c r="B25" s="783" t="s">
        <v>28</v>
      </c>
      <c r="C25" s="784"/>
      <c r="D25" s="787">
        <f t="shared" si="2"/>
        <v>205736000</v>
      </c>
      <c r="E25" s="899">
        <f t="shared" si="6"/>
        <v>2.9399999999999999E-2</v>
      </c>
      <c r="F25" s="786"/>
      <c r="G25" s="787">
        <f t="shared" ref="G25:G26" si="8">I25+K25</f>
        <v>205736000</v>
      </c>
      <c r="H25" s="899">
        <f t="shared" si="4"/>
        <v>2.9399999999999999E-2</v>
      </c>
      <c r="I25" s="787">
        <v>11955245.92</v>
      </c>
      <c r="J25" s="899">
        <v>0.03</v>
      </c>
      <c r="K25" s="787">
        <f t="shared" ref="K25" si="9">M25+O25+Q25+S25</f>
        <v>193780754.08000001</v>
      </c>
      <c r="L25" s="899">
        <f t="shared" si="5"/>
        <v>2.9399999999999999E-2</v>
      </c>
      <c r="M25" s="787">
        <f>Hoja10!F94</f>
        <v>43962855.689999998</v>
      </c>
      <c r="N25" s="899">
        <f>Hoja10!I94</f>
        <v>0.03</v>
      </c>
      <c r="O25" s="787">
        <f>Hoja10!F219</f>
        <v>145874620.30000001</v>
      </c>
      <c r="P25" s="899">
        <v>0.03</v>
      </c>
      <c r="Q25" s="787">
        <v>3767877.24</v>
      </c>
      <c r="R25" s="899">
        <v>0.03</v>
      </c>
      <c r="S25" s="787">
        <v>175400.85</v>
      </c>
      <c r="T25" s="899">
        <v>0.03</v>
      </c>
      <c r="U25" s="787">
        <v>0</v>
      </c>
      <c r="V25" s="899">
        <v>0</v>
      </c>
      <c r="W25" s="787">
        <v>0</v>
      </c>
      <c r="X25" s="899">
        <v>0</v>
      </c>
      <c r="Y25" s="787">
        <v>0</v>
      </c>
      <c r="Z25" s="899">
        <v>0</v>
      </c>
      <c r="AA25" s="787">
        <v>0</v>
      </c>
      <c r="AB25" s="899">
        <v>0</v>
      </c>
      <c r="AC25" s="787">
        <v>0</v>
      </c>
      <c r="AD25" s="899">
        <v>0</v>
      </c>
      <c r="AE25" s="787">
        <v>0</v>
      </c>
      <c r="AF25" s="899">
        <v>0</v>
      </c>
    </row>
    <row r="26" spans="2:32" s="142" customFormat="1" ht="15.5" x14ac:dyDescent="0.25">
      <c r="B26" s="783" t="s">
        <v>85</v>
      </c>
      <c r="C26" s="784"/>
      <c r="D26" s="787">
        <f t="shared" si="2"/>
        <v>200000000</v>
      </c>
      <c r="E26" s="899">
        <f>((G26*H26)+(U26*V26)+(W26*X26)+(Y26*Z26))/D26</f>
        <v>3.5499999999999997E-2</v>
      </c>
      <c r="F26" s="786"/>
      <c r="G26" s="787">
        <f t="shared" si="8"/>
        <v>200000000</v>
      </c>
      <c r="H26" s="899">
        <f t="shared" si="4"/>
        <v>3.5499999999999997E-2</v>
      </c>
      <c r="I26" s="787">
        <v>0</v>
      </c>
      <c r="J26" s="899">
        <v>0</v>
      </c>
      <c r="K26" s="787">
        <f>M26+O26+Q26+S26</f>
        <v>200000000</v>
      </c>
      <c r="L26" s="899">
        <f t="shared" si="5"/>
        <v>3.5499999999999997E-2</v>
      </c>
      <c r="M26" s="787">
        <f>Hoja10!F95+Hoja10!F96</f>
        <v>81500000</v>
      </c>
      <c r="N26" s="899">
        <f>Hoja10!I97</f>
        <v>3.5499999999999997E-2</v>
      </c>
      <c r="O26" s="787">
        <f>SUM(Hoja10!F220:F223)</f>
        <v>118500000</v>
      </c>
      <c r="P26" s="899">
        <f>Hoja10!I224</f>
        <v>3.5499999999999997E-2</v>
      </c>
      <c r="Q26" s="787">
        <v>0</v>
      </c>
      <c r="R26" s="899">
        <v>0</v>
      </c>
      <c r="S26" s="787"/>
      <c r="T26" s="899">
        <v>0</v>
      </c>
      <c r="U26" s="787">
        <v>0</v>
      </c>
      <c r="V26" s="899">
        <v>0</v>
      </c>
      <c r="W26" s="787">
        <v>0</v>
      </c>
      <c r="X26" s="899">
        <v>0</v>
      </c>
      <c r="Y26" s="787">
        <f t="shared" si="7"/>
        <v>0</v>
      </c>
      <c r="Z26" s="899">
        <v>0</v>
      </c>
      <c r="AA26" s="787">
        <v>0</v>
      </c>
      <c r="AB26" s="899">
        <v>0</v>
      </c>
      <c r="AC26" s="787">
        <v>0</v>
      </c>
      <c r="AD26" s="899">
        <v>0</v>
      </c>
      <c r="AE26" s="787"/>
      <c r="AF26" s="899">
        <v>0</v>
      </c>
    </row>
    <row r="27" spans="2:32" s="142" customFormat="1" ht="12.75" customHeight="1" x14ac:dyDescent="0.25">
      <c r="B27" s="790"/>
      <c r="C27" s="784"/>
      <c r="D27" s="790"/>
      <c r="F27" s="784"/>
      <c r="G27" s="585"/>
      <c r="H27" s="1160"/>
      <c r="I27" s="585"/>
      <c r="J27" s="1160"/>
      <c r="K27" s="585"/>
      <c r="L27" s="1160"/>
      <c r="M27" s="585"/>
      <c r="N27" s="1160"/>
      <c r="O27" s="585"/>
      <c r="P27" s="1160"/>
      <c r="Q27" s="585"/>
      <c r="R27" s="1160"/>
      <c r="S27" s="585"/>
      <c r="T27" s="1160"/>
      <c r="U27" s="585"/>
      <c r="V27" s="1160"/>
      <c r="W27" s="585"/>
      <c r="X27" s="1160"/>
      <c r="Y27" s="585"/>
      <c r="Z27" s="1160"/>
      <c r="AA27" s="585"/>
      <c r="AB27" s="1160"/>
      <c r="AC27" s="585"/>
      <c r="AD27" s="585"/>
      <c r="AE27" s="585"/>
      <c r="AF27" s="1160"/>
    </row>
    <row r="28" spans="2:32" s="142" customFormat="1" ht="16" customHeight="1" x14ac:dyDescent="0.25">
      <c r="B28" s="797" t="s">
        <v>30</v>
      </c>
      <c r="C28" s="784"/>
      <c r="D28" s="584">
        <f>G28+U28+W28+Y28</f>
        <v>500054574.93000001</v>
      </c>
      <c r="E28" s="897">
        <f>((G28*H28)+(U28*V28)+(W28*X28)+(Y28*Z28))/D28</f>
        <v>5.0700000000000002E-2</v>
      </c>
      <c r="F28" s="587"/>
      <c r="G28" s="584">
        <f>I28+K28</f>
        <v>408015574.93000001</v>
      </c>
      <c r="H28" s="897">
        <f>((I28*J28)+(K28*L28))/G28</f>
        <v>4.9299999999999997E-2</v>
      </c>
      <c r="I28" s="584">
        <v>0</v>
      </c>
      <c r="J28" s="897">
        <f>'ivm23'!L45</f>
        <v>5.1999999999999998E-2</v>
      </c>
      <c r="K28" s="584">
        <f>M28+O28+Q28+S28</f>
        <v>408015574.93000001</v>
      </c>
      <c r="L28" s="897">
        <f>((M28*N28)+(O28*P28)+(Q28*R28)+(S28*T28))/K28</f>
        <v>4.9299999999999997E-2</v>
      </c>
      <c r="M28" s="584">
        <f>63000000+63000000+31500000+212.35</f>
        <v>157500212.34999999</v>
      </c>
      <c r="N28" s="897">
        <v>4.7600000000000003E-2</v>
      </c>
      <c r="O28" s="584">
        <v>217515362.58000001</v>
      </c>
      <c r="P28" s="897">
        <v>4.7600000000000003E-2</v>
      </c>
      <c r="Q28" s="584">
        <v>33000000</v>
      </c>
      <c r="R28" s="897">
        <v>6.8500000000000005E-2</v>
      </c>
      <c r="S28" s="584">
        <v>0</v>
      </c>
      <c r="T28" s="897">
        <v>0</v>
      </c>
      <c r="U28" s="584">
        <v>0</v>
      </c>
      <c r="V28" s="897">
        <v>0</v>
      </c>
      <c r="W28" s="584">
        <v>19382000</v>
      </c>
      <c r="X28" s="897">
        <v>5.5500000000000001E-2</v>
      </c>
      <c r="Y28" s="584">
        <f t="shared" si="7"/>
        <v>72657000</v>
      </c>
      <c r="Z28" s="897">
        <f>+(AA28*AB28+AC28*AD28+AE28*AF28)/Y28</f>
        <v>5.7299999999999997E-2</v>
      </c>
      <c r="AA28" s="584">
        <v>72657000</v>
      </c>
      <c r="AB28" s="897">
        <v>5.7299999999999997E-2</v>
      </c>
      <c r="AC28" s="787">
        <v>0</v>
      </c>
      <c r="AD28" s="897">
        <v>0</v>
      </c>
      <c r="AE28" s="584">
        <v>0</v>
      </c>
      <c r="AF28" s="897">
        <v>0</v>
      </c>
    </row>
    <row r="29" spans="2:32" ht="16" customHeight="1" x14ac:dyDescent="0.25">
      <c r="B29" s="783"/>
      <c r="D29" s="790"/>
      <c r="E29" s="1156"/>
      <c r="F29" s="784"/>
      <c r="G29" s="585"/>
      <c r="H29" s="1160"/>
      <c r="I29" s="585"/>
      <c r="J29" s="1160"/>
      <c r="K29" s="585"/>
      <c r="L29" s="1160"/>
      <c r="M29" s="585"/>
      <c r="N29" s="1160"/>
      <c r="O29" s="585"/>
      <c r="P29" s="1160"/>
      <c r="Q29" s="1461"/>
      <c r="R29" s="1160"/>
      <c r="S29" s="585"/>
      <c r="T29" s="1160"/>
      <c r="U29" s="585"/>
      <c r="V29" s="1160"/>
      <c r="W29" s="585"/>
      <c r="X29" s="1160"/>
      <c r="Y29" s="585"/>
      <c r="Z29" s="1160"/>
      <c r="AA29" s="585"/>
      <c r="AB29" s="1160"/>
      <c r="AC29" s="585"/>
      <c r="AD29" s="1160"/>
      <c r="AE29" s="585"/>
      <c r="AF29" s="1160"/>
    </row>
    <row r="30" spans="2:32" s="6" customFormat="1" ht="16" customHeight="1" x14ac:dyDescent="0.25">
      <c r="B30" s="797" t="s">
        <v>53</v>
      </c>
      <c r="D30" s="584">
        <f>SUM(D31:D34)</f>
        <v>114371000</v>
      </c>
      <c r="E30" s="897">
        <f>+(D31*E31+D32*E32+D33*E33+D34*E34)/D30</f>
        <v>5.4100000000000002E-2</v>
      </c>
      <c r="F30" s="161"/>
      <c r="G30" s="584">
        <f>SUM(G31:G34)</f>
        <v>64371000</v>
      </c>
      <c r="H30" s="897">
        <f>+(G31*H31+G32*H32+G33*H33+G34*H34)/G30</f>
        <v>5.1799999999999999E-2</v>
      </c>
      <c r="I30" s="584">
        <f>SUM(I31:I34)</f>
        <v>0</v>
      </c>
      <c r="J30" s="897">
        <f>SUM(J31:J34)</f>
        <v>0</v>
      </c>
      <c r="K30" s="584">
        <f>SUM(K31:K34)</f>
        <v>64371000</v>
      </c>
      <c r="L30" s="897">
        <f>+(K31*L31+K32*L32+K33*L33+K34*L34)/K30</f>
        <v>5.1799999999999999E-2</v>
      </c>
      <c r="M30" s="584">
        <f>SUM(M31:M34)</f>
        <v>37505548.609999999</v>
      </c>
      <c r="N30" s="897">
        <f>+(M31*N31+M32*N32+M33*N33+M34*N34)/M30</f>
        <v>4.7300000000000002E-2</v>
      </c>
      <c r="O30" s="584">
        <f t="shared" ref="O30:AE30" si="10">SUM(O31:O34)</f>
        <v>26865451.390000001</v>
      </c>
      <c r="P30" s="897">
        <f>+(O31*P31+O32*P32+O33*P33+O34*P34)/O30</f>
        <v>5.8200000000000002E-2</v>
      </c>
      <c r="Q30" s="1462">
        <v>0</v>
      </c>
      <c r="R30" s="897">
        <v>0</v>
      </c>
      <c r="S30" s="584">
        <v>0</v>
      </c>
      <c r="T30" s="897">
        <v>0</v>
      </c>
      <c r="U30" s="787">
        <f t="shared" si="10"/>
        <v>0</v>
      </c>
      <c r="V30" s="899">
        <f t="shared" si="10"/>
        <v>0</v>
      </c>
      <c r="W30" s="787">
        <f t="shared" si="10"/>
        <v>50000000</v>
      </c>
      <c r="X30" s="1451">
        <f>((W31*X31)+(W33*X33))/W30</f>
        <v>5.7000000000000002E-2</v>
      </c>
      <c r="Y30" s="787">
        <f t="shared" si="10"/>
        <v>0</v>
      </c>
      <c r="Z30" s="899">
        <f>SUM(Z31:Z34)</f>
        <v>0</v>
      </c>
      <c r="AA30" s="787">
        <f t="shared" si="10"/>
        <v>0</v>
      </c>
      <c r="AB30" s="899">
        <f t="shared" si="10"/>
        <v>0</v>
      </c>
      <c r="AC30" s="787">
        <f t="shared" si="10"/>
        <v>0</v>
      </c>
      <c r="AD30" s="899">
        <f t="shared" si="10"/>
        <v>0</v>
      </c>
      <c r="AE30" s="787">
        <f t="shared" si="10"/>
        <v>0</v>
      </c>
      <c r="AF30" s="899">
        <v>0</v>
      </c>
    </row>
    <row r="31" spans="2:32" s="6" customFormat="1" ht="16" customHeight="1" x14ac:dyDescent="0.25">
      <c r="B31" s="783" t="s">
        <v>728</v>
      </c>
      <c r="D31" s="584">
        <f>G31+U31+W31+Y31</f>
        <v>20000000</v>
      </c>
      <c r="E31" s="955">
        <f>((G31*H31)+(U31*V31)+(W31*X31)+(Y31*Z31))/D31</f>
        <v>0.06</v>
      </c>
      <c r="F31" s="161"/>
      <c r="G31" s="584">
        <f>I31+K31</f>
        <v>0</v>
      </c>
      <c r="H31" s="897">
        <v>0</v>
      </c>
      <c r="I31" s="787">
        <v>0</v>
      </c>
      <c r="J31" s="899">
        <v>0</v>
      </c>
      <c r="K31" s="787">
        <f>M31+O31</f>
        <v>0</v>
      </c>
      <c r="L31" s="899">
        <v>0</v>
      </c>
      <c r="M31" s="787">
        <v>0</v>
      </c>
      <c r="N31" s="899">
        <v>0</v>
      </c>
      <c r="O31" s="787">
        <v>0</v>
      </c>
      <c r="P31" s="899">
        <v>0</v>
      </c>
      <c r="Q31" s="1460">
        <v>0</v>
      </c>
      <c r="R31" s="899">
        <v>0</v>
      </c>
      <c r="S31" s="787">
        <v>0</v>
      </c>
      <c r="T31" s="899">
        <v>0</v>
      </c>
      <c r="U31" s="787">
        <v>0</v>
      </c>
      <c r="V31" s="899">
        <v>0</v>
      </c>
      <c r="W31" s="787">
        <v>20000000</v>
      </c>
      <c r="X31" s="899">
        <v>0.06</v>
      </c>
      <c r="Y31" s="787">
        <f>AA31+AC31+AE31</f>
        <v>0</v>
      </c>
      <c r="Z31" s="899">
        <v>0</v>
      </c>
      <c r="AA31" s="787">
        <v>0</v>
      </c>
      <c r="AB31" s="899">
        <v>0</v>
      </c>
      <c r="AC31" s="787">
        <v>0</v>
      </c>
      <c r="AD31" s="899">
        <v>0</v>
      </c>
      <c r="AE31" s="787">
        <v>0</v>
      </c>
      <c r="AF31" s="899">
        <v>0</v>
      </c>
    </row>
    <row r="32" spans="2:32" s="6" customFormat="1" ht="16" customHeight="1" x14ac:dyDescent="0.25">
      <c r="B32" s="783" t="s">
        <v>88</v>
      </c>
      <c r="D32" s="586">
        <f>G32+U32+W32+Y32</f>
        <v>34371000</v>
      </c>
      <c r="E32" s="955">
        <f>((G32*H32)+(U32*V32)+(W32*X32)+(Y32*Z32))/D32</f>
        <v>4.4699999999999997E-2</v>
      </c>
      <c r="F32" s="587"/>
      <c r="G32" s="586">
        <f>I32+K32</f>
        <v>34371000</v>
      </c>
      <c r="H32" s="955">
        <f>((I32*J32)+(K32*L32))/G32</f>
        <v>4.4699999999999997E-2</v>
      </c>
      <c r="I32" s="787">
        <v>0</v>
      </c>
      <c r="J32" s="899">
        <v>0</v>
      </c>
      <c r="K32" s="586">
        <f>M32+O32</f>
        <v>34371000</v>
      </c>
      <c r="L32" s="897">
        <f>((M32*N32)+(O32*P32))/K32</f>
        <v>4.4699999999999997E-2</v>
      </c>
      <c r="M32" s="787">
        <f>Hoja10!F97</f>
        <v>26407020</v>
      </c>
      <c r="N32" s="899">
        <f>Hoja10!I100</f>
        <v>4.19E-2</v>
      </c>
      <c r="O32" s="787">
        <f>Hoja10!F225</f>
        <v>7963980</v>
      </c>
      <c r="P32" s="899">
        <v>5.3999999999999999E-2</v>
      </c>
      <c r="Q32" s="1460">
        <v>0</v>
      </c>
      <c r="R32" s="899">
        <v>0</v>
      </c>
      <c r="S32" s="787">
        <v>0</v>
      </c>
      <c r="T32" s="899">
        <v>0</v>
      </c>
      <c r="U32" s="787">
        <v>0</v>
      </c>
      <c r="V32" s="899">
        <v>0</v>
      </c>
      <c r="W32" s="787">
        <v>0</v>
      </c>
      <c r="X32" s="899">
        <v>0</v>
      </c>
      <c r="Y32" s="787">
        <f>AA32+AC32+AE32</f>
        <v>0</v>
      </c>
      <c r="Z32" s="899">
        <v>0</v>
      </c>
      <c r="AA32" s="787">
        <v>0</v>
      </c>
      <c r="AB32" s="899">
        <v>0</v>
      </c>
      <c r="AC32" s="787">
        <v>0</v>
      </c>
      <c r="AD32" s="899">
        <v>0</v>
      </c>
      <c r="AE32" s="787">
        <v>0</v>
      </c>
      <c r="AF32" s="899">
        <v>0</v>
      </c>
    </row>
    <row r="33" spans="2:32" s="6" customFormat="1" ht="16" customHeight="1" x14ac:dyDescent="0.25">
      <c r="B33" s="783" t="s">
        <v>727</v>
      </c>
      <c r="D33" s="586">
        <f>G33+U33+W33+Y33</f>
        <v>30000000</v>
      </c>
      <c r="E33" s="955">
        <f>((G33*H33)+(U33*V33)+(W33*X33)+(Y33*Z33))/D33</f>
        <v>5.5E-2</v>
      </c>
      <c r="F33" s="587"/>
      <c r="G33" s="586"/>
      <c r="H33" s="897">
        <v>0</v>
      </c>
      <c r="I33" s="787"/>
      <c r="J33" s="899"/>
      <c r="K33" s="586"/>
      <c r="L33" s="897"/>
      <c r="M33" s="787"/>
      <c r="N33" s="899"/>
      <c r="O33" s="787"/>
      <c r="P33" s="899"/>
      <c r="Q33" s="1460"/>
      <c r="R33" s="899"/>
      <c r="S33" s="787"/>
      <c r="T33" s="899"/>
      <c r="U33" s="787"/>
      <c r="V33" s="899"/>
      <c r="W33" s="787">
        <v>30000000</v>
      </c>
      <c r="X33" s="899">
        <v>5.5E-2</v>
      </c>
      <c r="Y33" s="787"/>
      <c r="Z33" s="899"/>
      <c r="AA33" s="787"/>
      <c r="AB33" s="899"/>
      <c r="AC33" s="787"/>
      <c r="AD33" s="899"/>
      <c r="AE33" s="787"/>
      <c r="AF33" s="899"/>
    </row>
    <row r="34" spans="2:32" s="6" customFormat="1" ht="16" customHeight="1" x14ac:dyDescent="0.25">
      <c r="B34" s="783" t="s">
        <v>726</v>
      </c>
      <c r="D34" s="584">
        <f>G34+U34+W34+Y34</f>
        <v>30000000</v>
      </c>
      <c r="E34" s="955">
        <f>((G34*H34)+(U34*V34)+(W34*X34)+(Y34*Z34))/D34</f>
        <v>0.06</v>
      </c>
      <c r="F34" s="161"/>
      <c r="G34" s="586">
        <f>I34+K34</f>
        <v>30000000</v>
      </c>
      <c r="H34" s="955">
        <f>((I34*J34)+(K34*L34))/G34</f>
        <v>0.06</v>
      </c>
      <c r="I34" s="787">
        <v>0</v>
      </c>
      <c r="J34" s="899">
        <v>0</v>
      </c>
      <c r="K34" s="787">
        <f>M34+O34</f>
        <v>30000000</v>
      </c>
      <c r="L34" s="897">
        <f>((M34*N34)+(O34*P34))/K34</f>
        <v>0.06</v>
      </c>
      <c r="M34" s="787">
        <v>11098528.609999999</v>
      </c>
      <c r="N34" s="899">
        <v>0.06</v>
      </c>
      <c r="O34" s="787">
        <v>18901471.390000001</v>
      </c>
      <c r="P34" s="899">
        <v>0.06</v>
      </c>
      <c r="Q34" s="1460">
        <v>0</v>
      </c>
      <c r="R34" s="899">
        <v>0</v>
      </c>
      <c r="S34" s="787">
        <v>0</v>
      </c>
      <c r="T34" s="899">
        <v>0</v>
      </c>
      <c r="U34" s="787">
        <v>0</v>
      </c>
      <c r="V34" s="899">
        <v>0</v>
      </c>
      <c r="W34" s="787">
        <v>0</v>
      </c>
      <c r="X34" s="899">
        <v>0</v>
      </c>
      <c r="Y34" s="787">
        <f>AA34+AC34+AE34</f>
        <v>0</v>
      </c>
      <c r="Z34" s="899">
        <v>0</v>
      </c>
      <c r="AA34" s="787">
        <v>0</v>
      </c>
      <c r="AB34" s="899">
        <v>0</v>
      </c>
      <c r="AC34" s="787">
        <v>0</v>
      </c>
      <c r="AD34" s="899">
        <v>0</v>
      </c>
      <c r="AE34" s="787">
        <v>0</v>
      </c>
      <c r="AF34" s="899">
        <v>0</v>
      </c>
    </row>
    <row r="35" spans="2:32" s="6" customFormat="1" ht="16" customHeight="1" x14ac:dyDescent="0.25">
      <c r="B35" s="797"/>
      <c r="D35" s="787"/>
      <c r="E35" s="899"/>
      <c r="F35" s="161"/>
      <c r="G35" s="787"/>
      <c r="H35" s="899"/>
      <c r="I35" s="585"/>
      <c r="J35" s="1160"/>
      <c r="K35" s="787"/>
      <c r="L35" s="899"/>
      <c r="M35" s="585"/>
      <c r="N35" s="1160"/>
      <c r="O35" s="585"/>
      <c r="P35" s="1160"/>
      <c r="Q35" s="1461"/>
      <c r="R35" s="1160"/>
      <c r="S35" s="585"/>
      <c r="T35" s="1160"/>
      <c r="U35" s="585"/>
      <c r="V35" s="1160"/>
      <c r="W35" s="585"/>
      <c r="X35" s="1160"/>
      <c r="Y35" s="585"/>
      <c r="Z35" s="1160"/>
      <c r="AA35" s="585"/>
      <c r="AB35" s="1160"/>
      <c r="AC35" s="585"/>
      <c r="AD35" s="1160"/>
      <c r="AE35" s="585"/>
      <c r="AF35" s="1160"/>
    </row>
    <row r="36" spans="2:32" s="6" customFormat="1" ht="16" customHeight="1" x14ac:dyDescent="0.25">
      <c r="B36" s="797" t="s">
        <v>54</v>
      </c>
      <c r="D36" s="787">
        <f>G36+U36+W36+Y36</f>
        <v>200000000</v>
      </c>
      <c r="E36" s="955">
        <f>((G36*H36)+(U36*V36)+(W36*X36)+(Y36*Z36))/D36</f>
        <v>3.5000000000000003E-2</v>
      </c>
      <c r="F36" s="161"/>
      <c r="G36" s="583">
        <f>I36+K36</f>
        <v>200000000</v>
      </c>
      <c r="H36" s="955">
        <f>((I36*J36)+(K36*L36))/G36</f>
        <v>3.5000000000000003E-2</v>
      </c>
      <c r="I36" s="787">
        <v>0</v>
      </c>
      <c r="J36" s="899">
        <v>0</v>
      </c>
      <c r="K36" s="787">
        <f>M36+O36</f>
        <v>200000000</v>
      </c>
      <c r="L36" s="897">
        <f>((M36*N36)+(O36*P36))/K36</f>
        <v>3.5000000000000003E-2</v>
      </c>
      <c r="M36" s="584">
        <f>Hoja10!F101</f>
        <v>71882137.159999996</v>
      </c>
      <c r="N36" s="897">
        <v>3.5000000000000003E-2</v>
      </c>
      <c r="O36" s="584">
        <f>Hoja10!F227</f>
        <v>128117862.84</v>
      </c>
      <c r="P36" s="899">
        <v>3.5000000000000003E-2</v>
      </c>
      <c r="Q36" s="1460">
        <v>0</v>
      </c>
      <c r="R36" s="899">
        <v>0</v>
      </c>
      <c r="S36" s="787">
        <v>0</v>
      </c>
      <c r="T36" s="899">
        <v>0</v>
      </c>
      <c r="U36" s="787">
        <v>0</v>
      </c>
      <c r="V36" s="899">
        <v>0</v>
      </c>
      <c r="W36" s="787">
        <v>0</v>
      </c>
      <c r="X36" s="899">
        <v>0</v>
      </c>
      <c r="Y36" s="787">
        <f>SUM(AA36:AE36)</f>
        <v>0</v>
      </c>
      <c r="Z36" s="899">
        <f>SUM(AC36:AF36)</f>
        <v>0</v>
      </c>
      <c r="AA36" s="787">
        <v>0</v>
      </c>
      <c r="AB36" s="899">
        <v>0</v>
      </c>
      <c r="AC36" s="787">
        <v>0</v>
      </c>
      <c r="AD36" s="899">
        <v>0</v>
      </c>
      <c r="AE36" s="787">
        <v>0</v>
      </c>
      <c r="AF36" s="899">
        <v>0</v>
      </c>
    </row>
    <row r="37" spans="2:32" s="142" customFormat="1" ht="16" customHeight="1" x14ac:dyDescent="0.25">
      <c r="B37" s="783"/>
      <c r="C37" s="158"/>
      <c r="D37" s="584"/>
      <c r="E37" s="897"/>
      <c r="F37" s="158"/>
      <c r="G37" s="787"/>
      <c r="H37" s="955"/>
      <c r="I37" s="585"/>
      <c r="J37" s="1160"/>
      <c r="K37" s="585"/>
      <c r="L37" s="1160"/>
      <c r="M37" s="585"/>
      <c r="N37" s="1160"/>
      <c r="O37" s="585"/>
      <c r="P37" s="1160"/>
      <c r="Q37" s="1461"/>
      <c r="R37" s="1160"/>
      <c r="S37" s="585"/>
      <c r="T37" s="1160"/>
      <c r="U37" s="585"/>
      <c r="V37" s="1160"/>
      <c r="W37" s="585"/>
      <c r="X37" s="1160"/>
      <c r="Y37" s="585"/>
      <c r="Z37" s="1160"/>
      <c r="AA37" s="585"/>
      <c r="AB37" s="1160"/>
      <c r="AC37" s="585"/>
      <c r="AD37" s="1160"/>
      <c r="AE37" s="585"/>
      <c r="AF37" s="1160"/>
    </row>
    <row r="38" spans="2:32" s="6" customFormat="1" ht="16" customHeight="1" x14ac:dyDescent="0.25">
      <c r="B38" s="797" t="s">
        <v>32</v>
      </c>
      <c r="D38" s="584">
        <f>G38+U38+W38+Y38</f>
        <v>51456787.950000003</v>
      </c>
      <c r="E38" s="955">
        <f>L38</f>
        <v>4.4699999999999997E-2</v>
      </c>
      <c r="F38" s="161"/>
      <c r="G38" s="586">
        <f>I38+K38</f>
        <v>51456787.950000003</v>
      </c>
      <c r="H38" s="955">
        <f>((I38*J38)+(K38*L38))/G38</f>
        <v>4.4699999999999997E-2</v>
      </c>
      <c r="I38" s="787">
        <v>0</v>
      </c>
      <c r="J38" s="1162">
        <v>0</v>
      </c>
      <c r="K38" s="584">
        <f>O38</f>
        <v>51456787.950000003</v>
      </c>
      <c r="L38" s="955">
        <f>P38</f>
        <v>4.4699999999999997E-2</v>
      </c>
      <c r="M38" s="787">
        <v>0</v>
      </c>
      <c r="N38" s="899">
        <v>0</v>
      </c>
      <c r="O38" s="584">
        <v>51456787.950000003</v>
      </c>
      <c r="P38" s="897">
        <v>4.4699999999999997E-2</v>
      </c>
      <c r="Q38" s="1462">
        <v>0</v>
      </c>
      <c r="R38" s="897">
        <v>0</v>
      </c>
      <c r="S38" s="584">
        <v>0</v>
      </c>
      <c r="T38" s="897">
        <v>0</v>
      </c>
      <c r="U38" s="787">
        <v>0</v>
      </c>
      <c r="V38" s="899">
        <v>0</v>
      </c>
      <c r="W38" s="787">
        <v>0</v>
      </c>
      <c r="X38" s="899">
        <v>0</v>
      </c>
      <c r="Y38" s="787">
        <f>SUM(AA38:AE38)</f>
        <v>0</v>
      </c>
      <c r="Z38" s="899">
        <f>SUM(AC38:AF38)</f>
        <v>0</v>
      </c>
      <c r="AA38" s="787">
        <v>0</v>
      </c>
      <c r="AB38" s="899">
        <v>0</v>
      </c>
      <c r="AC38" s="787">
        <v>0</v>
      </c>
      <c r="AD38" s="899">
        <v>0</v>
      </c>
      <c r="AE38" s="787">
        <v>0</v>
      </c>
      <c r="AF38" s="899">
        <v>0</v>
      </c>
    </row>
    <row r="39" spans="2:32" s="142" customFormat="1" ht="16" customHeight="1" x14ac:dyDescent="0.25">
      <c r="B39" s="783"/>
      <c r="C39" s="158"/>
      <c r="D39" s="584"/>
      <c r="E39" s="897"/>
      <c r="F39" s="158"/>
      <c r="G39" s="787"/>
      <c r="H39" s="899"/>
      <c r="I39" s="585"/>
      <c r="J39" s="1160"/>
      <c r="K39" s="791"/>
      <c r="L39" s="1158"/>
      <c r="M39" s="585"/>
      <c r="N39" s="1160"/>
      <c r="O39" s="790"/>
      <c r="P39" s="1156"/>
      <c r="Q39" s="1463"/>
      <c r="R39" s="1156"/>
      <c r="S39" s="790"/>
      <c r="T39" s="1156"/>
      <c r="U39" s="585"/>
      <c r="V39" s="1160"/>
      <c r="W39" s="585"/>
      <c r="X39" s="1160"/>
      <c r="Y39" s="585"/>
      <c r="Z39" s="1160"/>
      <c r="AA39" s="585"/>
      <c r="AB39" s="1160"/>
      <c r="AC39" s="585"/>
      <c r="AD39" s="1160"/>
      <c r="AE39" s="585"/>
      <c r="AF39" s="1160"/>
    </row>
    <row r="40" spans="2:32" s="6" customFormat="1" ht="16" customHeight="1" x14ac:dyDescent="0.25">
      <c r="B40" s="797" t="s">
        <v>33</v>
      </c>
      <c r="D40" s="787">
        <f>G40+U40+W40+Y40</f>
        <v>0</v>
      </c>
      <c r="E40" s="899">
        <f>I40+W40+Y40+AA40</f>
        <v>0</v>
      </c>
      <c r="F40" s="161"/>
      <c r="G40" s="583">
        <f>I40+K40</f>
        <v>0</v>
      </c>
      <c r="H40" s="1162">
        <f>K40+M40</f>
        <v>0</v>
      </c>
      <c r="I40" s="787">
        <v>0</v>
      </c>
      <c r="J40" s="899">
        <v>0</v>
      </c>
      <c r="K40" s="787">
        <f>SUM(M40:O40)</f>
        <v>0</v>
      </c>
      <c r="L40" s="899">
        <v>0</v>
      </c>
      <c r="M40" s="787">
        <v>0</v>
      </c>
      <c r="N40" s="899">
        <v>0</v>
      </c>
      <c r="O40" s="787">
        <v>0</v>
      </c>
      <c r="P40" s="899">
        <v>0</v>
      </c>
      <c r="Q40" s="1460">
        <v>0</v>
      </c>
      <c r="R40" s="899">
        <v>0</v>
      </c>
      <c r="S40" s="787">
        <v>0</v>
      </c>
      <c r="T40" s="899">
        <v>0</v>
      </c>
      <c r="U40" s="787">
        <v>0</v>
      </c>
      <c r="V40" s="899">
        <v>0</v>
      </c>
      <c r="W40" s="787">
        <v>0</v>
      </c>
      <c r="X40" s="899">
        <v>0</v>
      </c>
      <c r="Y40" s="787">
        <f>SUM(AA40:AE40)</f>
        <v>0</v>
      </c>
      <c r="Z40" s="899">
        <f>SUM(AC40:AF40)</f>
        <v>0</v>
      </c>
      <c r="AA40" s="787">
        <v>0</v>
      </c>
      <c r="AB40" s="899">
        <v>0</v>
      </c>
      <c r="AC40" s="787">
        <v>0</v>
      </c>
      <c r="AD40" s="899">
        <v>0</v>
      </c>
      <c r="AE40" s="787">
        <v>0</v>
      </c>
      <c r="AF40" s="899">
        <v>0</v>
      </c>
    </row>
    <row r="41" spans="2:32" s="6" customFormat="1" ht="16" customHeight="1" x14ac:dyDescent="0.25">
      <c r="B41" s="797"/>
      <c r="D41" s="584"/>
      <c r="E41" s="897"/>
      <c r="F41" s="161"/>
      <c r="G41" s="787"/>
      <c r="H41" s="899"/>
      <c r="I41" s="787"/>
      <c r="J41" s="899"/>
      <c r="K41" s="792"/>
      <c r="L41" s="1159"/>
      <c r="M41" s="787"/>
      <c r="N41" s="899"/>
      <c r="O41" s="584"/>
      <c r="P41" s="897"/>
      <c r="Q41" s="1462"/>
      <c r="R41" s="897"/>
      <c r="S41" s="584"/>
      <c r="T41" s="897"/>
      <c r="U41" s="787"/>
      <c r="V41" s="899"/>
      <c r="W41" s="787"/>
      <c r="X41" s="899"/>
      <c r="Y41" s="787"/>
      <c r="Z41" s="899"/>
      <c r="AA41" s="787"/>
      <c r="AB41" s="899"/>
      <c r="AC41" s="787"/>
      <c r="AD41" s="899"/>
      <c r="AE41" s="787"/>
      <c r="AF41" s="899"/>
    </row>
    <row r="42" spans="2:32" s="6" customFormat="1" ht="16" customHeight="1" x14ac:dyDescent="0.25">
      <c r="B42" s="797" t="s">
        <v>34</v>
      </c>
      <c r="D42" s="584">
        <f>G42+U42+W42+Y42</f>
        <v>55193593.93</v>
      </c>
      <c r="E42" s="955">
        <f>L42</f>
        <v>4.9500000000000002E-2</v>
      </c>
      <c r="F42" s="161"/>
      <c r="G42" s="586">
        <f>I42+K42</f>
        <v>55193593.93</v>
      </c>
      <c r="H42" s="955">
        <f>((I42*J42)+(K42*L42))/G42</f>
        <v>4.9500000000000002E-2</v>
      </c>
      <c r="I42" s="787">
        <v>0</v>
      </c>
      <c r="J42" s="1162">
        <v>0</v>
      </c>
      <c r="K42" s="584">
        <f>O42</f>
        <v>55193593.93</v>
      </c>
      <c r="L42" s="955">
        <f>P42</f>
        <v>4.9500000000000002E-2</v>
      </c>
      <c r="M42" s="787">
        <v>0</v>
      </c>
      <c r="N42" s="899">
        <v>0</v>
      </c>
      <c r="O42" s="584">
        <v>55193593.93</v>
      </c>
      <c r="P42" s="897">
        <v>4.9500000000000002E-2</v>
      </c>
      <c r="Q42" s="1462">
        <v>0</v>
      </c>
      <c r="R42" s="897">
        <v>0</v>
      </c>
      <c r="S42" s="584">
        <v>0</v>
      </c>
      <c r="T42" s="897">
        <v>0</v>
      </c>
      <c r="U42" s="787">
        <v>0</v>
      </c>
      <c r="V42" s="899">
        <v>0</v>
      </c>
      <c r="W42" s="787">
        <v>0</v>
      </c>
      <c r="X42" s="899">
        <v>0</v>
      </c>
      <c r="Y42" s="787">
        <f>SUM(AA42:AE42)</f>
        <v>0</v>
      </c>
      <c r="Z42" s="899">
        <f>SUM(AC42:AF42)</f>
        <v>0</v>
      </c>
      <c r="AA42" s="787">
        <v>0</v>
      </c>
      <c r="AB42" s="899">
        <v>0</v>
      </c>
      <c r="AC42" s="787">
        <v>0</v>
      </c>
      <c r="AD42" s="899">
        <v>0</v>
      </c>
      <c r="AE42" s="787">
        <v>0</v>
      </c>
      <c r="AF42" s="899">
        <v>0</v>
      </c>
    </row>
    <row r="43" spans="2:32" s="6" customFormat="1" ht="16" customHeight="1" x14ac:dyDescent="0.25">
      <c r="B43" s="797"/>
      <c r="D43" s="584"/>
      <c r="E43" s="897"/>
      <c r="F43" s="161"/>
      <c r="G43" s="787"/>
      <c r="H43" s="899"/>
      <c r="I43" s="787"/>
      <c r="J43" s="899"/>
      <c r="K43" s="792"/>
      <c r="L43" s="1159"/>
      <c r="M43" s="787"/>
      <c r="N43" s="899"/>
      <c r="O43" s="584"/>
      <c r="P43" s="897"/>
      <c r="Q43" s="1462"/>
      <c r="R43" s="897"/>
      <c r="S43" s="584"/>
      <c r="T43" s="897"/>
      <c r="U43" s="787"/>
      <c r="V43" s="899"/>
      <c r="W43" s="787"/>
      <c r="X43" s="899"/>
      <c r="Y43" s="787"/>
      <c r="Z43" s="899"/>
      <c r="AA43" s="787"/>
      <c r="AB43" s="899"/>
      <c r="AC43" s="787"/>
      <c r="AD43" s="899"/>
      <c r="AE43" s="787"/>
      <c r="AF43" s="899"/>
    </row>
    <row r="44" spans="2:32" s="6" customFormat="1" ht="16" customHeight="1" x14ac:dyDescent="0.25">
      <c r="B44" s="797" t="s">
        <v>55</v>
      </c>
      <c r="D44" s="584">
        <f>G44+U44+W44+Y44</f>
        <v>25545520.550000001</v>
      </c>
      <c r="E44" s="955">
        <f>L44</f>
        <v>5.5E-2</v>
      </c>
      <c r="F44" s="161"/>
      <c r="G44" s="586">
        <f>I44+K44</f>
        <v>25545520.550000001</v>
      </c>
      <c r="H44" s="955">
        <f>((I44*J44)+(K44*L44))/G44</f>
        <v>5.5E-2</v>
      </c>
      <c r="I44" s="787">
        <v>0</v>
      </c>
      <c r="J44" s="1162">
        <v>0</v>
      </c>
      <c r="K44" s="584">
        <f>O44</f>
        <v>25545520.550000001</v>
      </c>
      <c r="L44" s="955">
        <f>P44</f>
        <v>5.5E-2</v>
      </c>
      <c r="M44" s="787">
        <v>0</v>
      </c>
      <c r="N44" s="899">
        <v>0</v>
      </c>
      <c r="O44" s="584">
        <v>25545520.550000001</v>
      </c>
      <c r="P44" s="897">
        <v>5.5E-2</v>
      </c>
      <c r="Q44" s="1462">
        <v>0</v>
      </c>
      <c r="R44" s="897">
        <v>0</v>
      </c>
      <c r="S44" s="584">
        <v>0</v>
      </c>
      <c r="T44" s="897">
        <v>0</v>
      </c>
      <c r="U44" s="787">
        <v>0</v>
      </c>
      <c r="V44" s="899">
        <v>0</v>
      </c>
      <c r="W44" s="787">
        <v>0</v>
      </c>
      <c r="X44" s="899">
        <v>0</v>
      </c>
      <c r="Y44" s="787">
        <f>SUM(AA44:AE44)</f>
        <v>0</v>
      </c>
      <c r="Z44" s="899">
        <f>SUM(AC44:AF44)</f>
        <v>0</v>
      </c>
      <c r="AA44" s="787">
        <v>0</v>
      </c>
      <c r="AB44" s="899">
        <v>0</v>
      </c>
      <c r="AC44" s="787">
        <v>0</v>
      </c>
      <c r="AD44" s="899">
        <v>0</v>
      </c>
      <c r="AE44" s="787">
        <v>0</v>
      </c>
      <c r="AF44" s="899">
        <v>0</v>
      </c>
    </row>
    <row r="45" spans="2:32" s="6" customFormat="1" ht="9" customHeight="1" x14ac:dyDescent="0.25">
      <c r="B45" s="1474"/>
      <c r="D45" s="793"/>
      <c r="E45" s="1157"/>
      <c r="G45" s="793"/>
      <c r="H45" s="1157"/>
      <c r="I45" s="793"/>
      <c r="J45" s="1157"/>
      <c r="K45" s="793"/>
      <c r="L45" s="1157"/>
      <c r="M45" s="793"/>
      <c r="N45" s="1157"/>
      <c r="O45" s="793"/>
      <c r="P45" s="1157"/>
      <c r="Q45" s="1464"/>
      <c r="R45" s="1157"/>
      <c r="S45" s="793"/>
      <c r="T45" s="1157"/>
      <c r="U45" s="793"/>
      <c r="V45" s="1157"/>
      <c r="W45" s="793"/>
      <c r="X45" s="1157"/>
      <c r="Y45" s="793"/>
      <c r="Z45" s="1157"/>
      <c r="AA45" s="793"/>
      <c r="AB45" s="1157"/>
      <c r="AC45" s="793"/>
      <c r="AD45" s="793"/>
      <c r="AE45" s="793"/>
      <c r="AF45" s="1157"/>
    </row>
    <row r="46" spans="2:32" s="6" customFormat="1" ht="11.25" customHeight="1" x14ac:dyDescent="0.25">
      <c r="B46" s="142"/>
      <c r="E46" s="1471"/>
      <c r="H46" s="1471"/>
      <c r="J46" s="1471"/>
      <c r="L46" s="1471"/>
      <c r="N46" s="1471"/>
      <c r="P46" s="1471"/>
      <c r="Q46" s="1472"/>
      <c r="R46" s="1471"/>
      <c r="T46" s="1471"/>
      <c r="V46" s="1471"/>
      <c r="X46" s="1471"/>
      <c r="Z46" s="1471"/>
      <c r="AB46" s="1471"/>
      <c r="AF46" s="1471"/>
    </row>
    <row r="47" spans="2:32" ht="25.5" customHeight="1" x14ac:dyDescent="0.25">
      <c r="B47" s="1473" t="s">
        <v>731</v>
      </c>
      <c r="C47" s="158"/>
      <c r="D47" s="6"/>
      <c r="E47" s="1453"/>
      <c r="H47" s="1468">
        <v>5.1999999999999998E-2</v>
      </c>
    </row>
    <row r="48" spans="2:32" s="161" customFormat="1" ht="20.149999999999999" customHeight="1" x14ac:dyDescent="0.25">
      <c r="B48" s="161" t="s">
        <v>71</v>
      </c>
      <c r="D48" s="6"/>
      <c r="E48" s="191"/>
      <c r="H48" s="186"/>
      <c r="J48" s="186"/>
      <c r="L48" s="186"/>
      <c r="M48" s="161">
        <f>K48*L48</f>
        <v>0</v>
      </c>
      <c r="N48" s="186"/>
      <c r="P48" s="186"/>
      <c r="Q48" s="1466"/>
      <c r="R48" s="186"/>
      <c r="T48" s="186"/>
      <c r="V48" s="186"/>
      <c r="X48" s="186"/>
      <c r="Z48" s="186"/>
      <c r="AB48" s="186"/>
      <c r="AD48" s="186"/>
      <c r="AF48" s="186"/>
    </row>
    <row r="49" spans="2:32" s="161" customFormat="1" ht="20.149999999999999" customHeight="1" x14ac:dyDescent="0.25">
      <c r="B49" s="163" t="s">
        <v>77</v>
      </c>
      <c r="D49" s="6"/>
      <c r="E49" s="191"/>
      <c r="H49" s="186"/>
      <c r="J49" s="186"/>
      <c r="L49" s="186"/>
      <c r="M49" s="161">
        <f t="shared" ref="M49:M50" si="11">K49*L49</f>
        <v>0</v>
      </c>
      <c r="N49" s="186"/>
      <c r="P49" s="186"/>
      <c r="Q49" s="1466"/>
      <c r="R49" s="186"/>
      <c r="T49" s="186"/>
      <c r="V49" s="186"/>
      <c r="X49" s="186"/>
      <c r="Z49" s="186"/>
      <c r="AB49" s="186"/>
      <c r="AD49" s="186"/>
      <c r="AF49" s="186"/>
    </row>
    <row r="50" spans="2:32" s="161" customFormat="1" ht="20.149999999999999" customHeight="1" x14ac:dyDescent="0.25">
      <c r="B50" s="163" t="s">
        <v>72</v>
      </c>
      <c r="D50" s="6"/>
      <c r="E50" s="191"/>
      <c r="H50" s="186"/>
      <c r="J50" s="186"/>
      <c r="L50" s="186"/>
      <c r="M50" s="161">
        <f t="shared" si="11"/>
        <v>0</v>
      </c>
      <c r="N50" s="186"/>
      <c r="P50" s="186"/>
      <c r="Q50" s="1466"/>
      <c r="R50" s="186"/>
      <c r="T50" s="186"/>
      <c r="V50" s="186"/>
      <c r="X50" s="186"/>
      <c r="Z50" s="186"/>
      <c r="AB50" s="186"/>
      <c r="AD50" s="186"/>
      <c r="AF50" s="186"/>
    </row>
    <row r="51" spans="2:32" s="161" customFormat="1" ht="20.149999999999999" customHeight="1" x14ac:dyDescent="0.25">
      <c r="B51" s="163" t="s">
        <v>81</v>
      </c>
      <c r="D51" s="6"/>
      <c r="E51" s="191"/>
      <c r="H51" s="186"/>
      <c r="J51" s="186"/>
      <c r="L51" s="186"/>
      <c r="M51" s="161">
        <f>SUM(M48:M50)</f>
        <v>0</v>
      </c>
      <c r="N51" s="186" t="e">
        <f>M51/K51</f>
        <v>#DIV/0!</v>
      </c>
      <c r="P51" s="186"/>
      <c r="Q51" s="1466"/>
      <c r="R51" s="186"/>
      <c r="T51" s="186"/>
      <c r="V51" s="186"/>
      <c r="X51" s="186"/>
      <c r="Z51" s="186"/>
      <c r="AB51" s="186"/>
      <c r="AD51" s="186"/>
      <c r="AF51" s="186"/>
    </row>
    <row r="52" spans="2:32" s="158" customFormat="1" ht="10" customHeight="1" x14ac:dyDescent="0.25">
      <c r="D52" s="142"/>
      <c r="E52" s="192"/>
      <c r="H52" s="187"/>
      <c r="J52" s="187"/>
      <c r="L52" s="187"/>
      <c r="N52" s="187"/>
      <c r="P52" s="187"/>
      <c r="Q52" s="1467"/>
      <c r="R52" s="187"/>
      <c r="T52" s="187"/>
      <c r="V52" s="187"/>
      <c r="X52" s="187"/>
      <c r="Z52" s="187"/>
      <c r="AB52" s="187"/>
      <c r="AD52" s="187"/>
      <c r="AF52" s="187"/>
    </row>
    <row r="53" spans="2:32" s="161" customFormat="1" ht="20.149999999999999" customHeight="1" x14ac:dyDescent="0.25">
      <c r="B53" s="161" t="s">
        <v>74</v>
      </c>
      <c r="D53" s="6"/>
      <c r="E53" s="191"/>
      <c r="H53" s="186"/>
      <c r="J53" s="186"/>
      <c r="L53" s="186"/>
      <c r="N53" s="186"/>
      <c r="P53" s="186"/>
      <c r="Q53" s="1466"/>
      <c r="R53" s="186"/>
      <c r="T53" s="186"/>
      <c r="V53" s="186"/>
      <c r="X53" s="186"/>
      <c r="Z53" s="186"/>
      <c r="AB53" s="186"/>
      <c r="AD53" s="186"/>
      <c r="AF53" s="186"/>
    </row>
    <row r="54" spans="2:32" s="161" customFormat="1" ht="20.149999999999999" customHeight="1" x14ac:dyDescent="0.25">
      <c r="B54" s="163" t="s">
        <v>78</v>
      </c>
      <c r="D54" s="6"/>
      <c r="E54" s="191"/>
      <c r="H54" s="186"/>
      <c r="J54" s="186"/>
      <c r="L54" s="186"/>
      <c r="N54" s="186"/>
      <c r="P54" s="186"/>
      <c r="Q54" s="1466"/>
      <c r="R54" s="186"/>
      <c r="T54" s="186"/>
      <c r="V54" s="186"/>
      <c r="X54" s="186"/>
      <c r="Z54" s="186"/>
      <c r="AB54" s="186"/>
      <c r="AD54" s="186"/>
      <c r="AF54" s="186"/>
    </row>
    <row r="55" spans="2:32" s="161" customFormat="1" ht="20.149999999999999" customHeight="1" x14ac:dyDescent="0.25">
      <c r="B55" s="163" t="s">
        <v>75</v>
      </c>
      <c r="D55" s="6"/>
      <c r="E55" s="191"/>
      <c r="H55" s="186"/>
      <c r="L55" s="186"/>
      <c r="N55" s="186"/>
      <c r="P55" s="186"/>
      <c r="Q55" s="1466"/>
      <c r="R55" s="186"/>
      <c r="T55" s="186"/>
      <c r="V55" s="186"/>
      <c r="X55" s="186"/>
      <c r="Z55" s="186"/>
      <c r="AB55" s="186"/>
      <c r="AD55" s="186"/>
      <c r="AF55" s="186"/>
    </row>
    <row r="56" spans="2:32" s="161" customFormat="1" ht="20.149999999999999" customHeight="1" x14ac:dyDescent="0.25">
      <c r="B56" s="163" t="s">
        <v>73</v>
      </c>
      <c r="D56" s="6"/>
      <c r="E56" s="191"/>
      <c r="H56" s="186"/>
      <c r="L56" s="186"/>
      <c r="N56" s="186"/>
      <c r="O56" s="30"/>
      <c r="P56" s="185"/>
      <c r="Q56" s="1465"/>
      <c r="R56" s="185"/>
      <c r="S56" s="30"/>
      <c r="T56" s="185"/>
      <c r="U56" s="30"/>
      <c r="V56" s="186"/>
      <c r="X56" s="186"/>
      <c r="Z56" s="186"/>
      <c r="AB56" s="186"/>
      <c r="AD56" s="186"/>
      <c r="AF56" s="186"/>
    </row>
    <row r="57" spans="2:32" s="161" customFormat="1" ht="20.149999999999999" customHeight="1" x14ac:dyDescent="0.25">
      <c r="B57" s="163" t="s">
        <v>79</v>
      </c>
      <c r="D57" s="6"/>
      <c r="E57" s="191"/>
      <c r="H57" s="186"/>
      <c r="J57" s="186"/>
      <c r="L57" s="186"/>
      <c r="N57" s="186"/>
      <c r="P57" s="186"/>
      <c r="Q57" s="1466"/>
      <c r="R57" s="186"/>
      <c r="T57" s="186"/>
      <c r="V57" s="186"/>
      <c r="X57" s="186"/>
      <c r="Z57" s="186"/>
      <c r="AB57" s="186"/>
      <c r="AD57" s="186"/>
      <c r="AF57" s="186"/>
    </row>
    <row r="58" spans="2:32" s="158" customFormat="1" ht="10" customHeight="1" x14ac:dyDescent="0.25">
      <c r="B58" s="160"/>
      <c r="D58" s="142"/>
      <c r="E58" s="192"/>
      <c r="H58" s="187"/>
      <c r="J58" s="187"/>
      <c r="L58" s="187"/>
      <c r="N58" s="187"/>
      <c r="P58" s="187"/>
      <c r="Q58" s="1467"/>
      <c r="R58" s="187"/>
      <c r="T58" s="187"/>
      <c r="V58" s="187"/>
      <c r="X58" s="187"/>
      <c r="Z58" s="187"/>
      <c r="AB58" s="187"/>
      <c r="AD58" s="187"/>
      <c r="AF58" s="187"/>
    </row>
    <row r="59" spans="2:32" s="161" customFormat="1" ht="20.149999999999999" customHeight="1" x14ac:dyDescent="0.25">
      <c r="B59" s="163" t="str">
        <f>+'CSS-RENDIMIENTO % ju22'!B55</f>
        <v>Elaborado por: Lilia Psomas - Unidad Técnica Especializada de Inversiones CSS.</v>
      </c>
      <c r="D59" s="6"/>
      <c r="E59" s="191"/>
      <c r="H59" s="186"/>
      <c r="J59" s="186"/>
      <c r="L59" s="186"/>
      <c r="N59" s="186"/>
      <c r="P59" s="186"/>
      <c r="Q59" s="1466"/>
      <c r="R59" s="186"/>
      <c r="T59" s="186"/>
      <c r="V59" s="186"/>
      <c r="X59" s="186"/>
      <c r="Z59" s="186"/>
      <c r="AB59" s="186"/>
      <c r="AD59" s="186"/>
      <c r="AF59" s="186"/>
    </row>
    <row r="60" spans="2:32" s="161" customFormat="1" ht="20.149999999999999" customHeight="1" x14ac:dyDescent="0.25">
      <c r="B60" s="163" t="s">
        <v>638</v>
      </c>
      <c r="D60" s="6"/>
      <c r="E60" s="191"/>
      <c r="H60" s="186"/>
      <c r="L60" s="186"/>
      <c r="N60" s="186"/>
      <c r="P60" s="186"/>
      <c r="Q60" s="1466"/>
      <c r="R60" s="186"/>
      <c r="T60" s="186"/>
      <c r="V60" s="186"/>
      <c r="X60" s="186"/>
      <c r="Z60" s="186"/>
      <c r="AB60" s="186"/>
      <c r="AD60" s="186"/>
      <c r="AF60" s="186"/>
    </row>
  </sheetData>
  <sheetProtection selectLockedCells="1" selectUnlockedCells="1"/>
  <mergeCells count="33">
    <mergeCell ref="B7:AF7"/>
    <mergeCell ref="AC1:AE1"/>
    <mergeCell ref="B2:AF2"/>
    <mergeCell ref="B3:AF3"/>
    <mergeCell ref="B5:AF5"/>
    <mergeCell ref="B6:AF6"/>
    <mergeCell ref="B4:AA4"/>
    <mergeCell ref="L11:L12"/>
    <mergeCell ref="B8:AF8"/>
    <mergeCell ref="B10:B12"/>
    <mergeCell ref="D10:D12"/>
    <mergeCell ref="E10:E12"/>
    <mergeCell ref="G10:P10"/>
    <mergeCell ref="U10:U12"/>
    <mergeCell ref="V10:V12"/>
    <mergeCell ref="W10:W12"/>
    <mergeCell ref="X10:X12"/>
    <mergeCell ref="Y10:AF10"/>
    <mergeCell ref="Z11:Z12"/>
    <mergeCell ref="AA11:AA12"/>
    <mergeCell ref="AB11:AB12"/>
    <mergeCell ref="AC11:AF11"/>
    <mergeCell ref="M11:M12"/>
    <mergeCell ref="N11:N12"/>
    <mergeCell ref="O11:O12"/>
    <mergeCell ref="P11:P12"/>
    <mergeCell ref="Q11:T11"/>
    <mergeCell ref="Y11:Y12"/>
    <mergeCell ref="G11:G12"/>
    <mergeCell ref="H11:H12"/>
    <mergeCell ref="I11:I12"/>
    <mergeCell ref="J11:J12"/>
    <mergeCell ref="K11:K12"/>
  </mergeCells>
  <printOptions horizontalCentered="1" verticalCentered="1"/>
  <pageMargins left="0" right="0" top="0" bottom="0" header="0" footer="0"/>
  <pageSetup paperSize="5" scale="50" firstPageNumber="0" orientation="landscape" r:id="rId1"/>
  <headerFooter alignWithMargins="0"/>
  <ignoredErrors>
    <ignoredError sqref="O26 K40 Y36 Y38 Y40 Y42 Y44" formulaRange="1"/>
    <ignoredError sqref="I14 I16 I20 K20 K16 K14 M14 M16 M20 O20 O16 O14 Q14 Q20 Q16 S14 S16 S20 U14 U16 W14 W16 Y14 Y16 AA14 AA16 O30 M30" formula="1"/>
  </ignoredError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V61"/>
  <sheetViews>
    <sheetView topLeftCell="A10" workbookViewId="0">
      <selection activeCell="M27" sqref="M27"/>
    </sheetView>
  </sheetViews>
  <sheetFormatPr baseColWidth="10" defaultColWidth="18" defaultRowHeight="15.5" x14ac:dyDescent="0.35"/>
  <cols>
    <col min="1" max="1" width="5.453125" style="355" customWidth="1"/>
    <col min="2" max="2" width="27.7265625" style="456" customWidth="1"/>
    <col min="3" max="3" width="20.453125" style="456" customWidth="1"/>
    <col min="4" max="4" width="18.1796875" style="456" customWidth="1"/>
    <col min="5" max="5" width="17.54296875" style="456" customWidth="1"/>
    <col min="6" max="6" width="18.26953125" style="456" customWidth="1"/>
    <col min="7" max="7" width="18.7265625" style="457" customWidth="1"/>
    <col min="8" max="8" width="29" style="358" hidden="1" customWidth="1"/>
    <col min="9" max="9" width="34.81640625" style="358" hidden="1" customWidth="1"/>
    <col min="10" max="10" width="24.54296875" style="358" hidden="1" customWidth="1"/>
    <col min="11" max="13" width="24.54296875" style="358" customWidth="1"/>
    <col min="14" max="17" width="18" style="355"/>
    <col min="18" max="22" width="18" style="359"/>
    <col min="23" max="16384" width="18" style="355"/>
  </cols>
  <sheetData>
    <row r="1" spans="1:22" s="331" customFormat="1" ht="24" customHeight="1" x14ac:dyDescent="0.25">
      <c r="B1" s="332"/>
      <c r="C1" s="333"/>
      <c r="D1" s="333"/>
      <c r="E1" s="333"/>
      <c r="F1" s="333"/>
      <c r="G1" s="334" t="s">
        <v>360</v>
      </c>
      <c r="H1" s="337"/>
      <c r="I1" s="337"/>
      <c r="J1" s="338"/>
      <c r="K1" s="338"/>
      <c r="L1" s="338"/>
      <c r="M1" s="338"/>
      <c r="N1" s="1654"/>
      <c r="O1" s="1654"/>
      <c r="P1" s="1654"/>
      <c r="Q1" s="1654"/>
      <c r="R1" s="1654"/>
      <c r="S1" s="340"/>
      <c r="T1" s="340"/>
      <c r="U1" s="340"/>
      <c r="V1" s="340"/>
    </row>
    <row r="2" spans="1:22" s="341" customFormat="1" ht="24" customHeight="1" x14ac:dyDescent="0.25">
      <c r="B2" s="1655" t="s">
        <v>0</v>
      </c>
      <c r="C2" s="1656"/>
      <c r="D2" s="1656"/>
      <c r="E2" s="1656"/>
      <c r="F2" s="1656"/>
      <c r="G2" s="1657"/>
      <c r="H2" s="345"/>
      <c r="I2" s="345"/>
      <c r="J2" s="1658"/>
      <c r="K2" s="1658"/>
      <c r="L2" s="1658"/>
      <c r="M2" s="1658"/>
      <c r="N2" s="1658"/>
      <c r="O2" s="1658"/>
      <c r="P2" s="1658"/>
      <c r="Q2" s="1658"/>
      <c r="R2" s="1658"/>
      <c r="S2" s="346"/>
      <c r="T2" s="346"/>
      <c r="U2" s="346"/>
      <c r="V2" s="346"/>
    </row>
    <row r="3" spans="1:22" s="352" customFormat="1" ht="24" customHeight="1" x14ac:dyDescent="0.25">
      <c r="A3" s="347"/>
      <c r="B3" s="1659" t="s">
        <v>648</v>
      </c>
      <c r="C3" s="1660"/>
      <c r="D3" s="1660"/>
      <c r="E3" s="1660"/>
      <c r="F3" s="1660"/>
      <c r="G3" s="1661"/>
      <c r="H3" s="350"/>
      <c r="I3" s="350"/>
      <c r="J3" s="1662"/>
      <c r="K3" s="672"/>
      <c r="L3" s="672"/>
      <c r="M3" s="672"/>
      <c r="N3" s="351"/>
      <c r="O3" s="351"/>
      <c r="P3" s="351"/>
      <c r="Q3" s="351"/>
      <c r="R3" s="351"/>
      <c r="S3" s="346"/>
      <c r="T3" s="346"/>
      <c r="U3" s="346"/>
      <c r="V3" s="347"/>
    </row>
    <row r="4" spans="1:22" s="341" customFormat="1" ht="24" customHeight="1" x14ac:dyDescent="0.25">
      <c r="B4" s="1663" t="str">
        <f>'[11]VENC. '!$B$4</f>
        <v xml:space="preserve"> AL 31 DE MARZO DE 2023</v>
      </c>
      <c r="C4" s="1664"/>
      <c r="D4" s="1664"/>
      <c r="E4" s="1664"/>
      <c r="F4" s="1664"/>
      <c r="G4" s="1665"/>
      <c r="H4" s="350"/>
      <c r="I4" s="350"/>
      <c r="J4" s="1662"/>
      <c r="K4" s="672"/>
      <c r="L4" s="672"/>
      <c r="M4" s="672"/>
      <c r="N4" s="353"/>
      <c r="O4" s="353"/>
      <c r="P4" s="345"/>
      <c r="Q4" s="345"/>
      <c r="R4" s="354"/>
      <c r="S4" s="346"/>
      <c r="T4" s="346"/>
      <c r="U4" s="346"/>
      <c r="V4" s="346"/>
    </row>
    <row r="5" spans="1:22" ht="15.65" customHeight="1" x14ac:dyDescent="0.35">
      <c r="B5" s="1649" t="s">
        <v>362</v>
      </c>
      <c r="C5" s="1651" t="s">
        <v>363</v>
      </c>
      <c r="D5" s="1652"/>
      <c r="E5" s="1649" t="s">
        <v>364</v>
      </c>
      <c r="F5" s="1649" t="s">
        <v>365</v>
      </c>
      <c r="G5" s="1649" t="s">
        <v>366</v>
      </c>
      <c r="H5" s="1653" t="s">
        <v>367</v>
      </c>
      <c r="J5" s="1640"/>
      <c r="K5" s="1640"/>
      <c r="L5" s="1640"/>
      <c r="M5" s="1640"/>
      <c r="N5" s="1640"/>
      <c r="O5" s="1640"/>
      <c r="P5" s="1640"/>
      <c r="Q5" s="1640"/>
      <c r="R5" s="1640"/>
    </row>
    <row r="6" spans="1:22" ht="12" customHeight="1" x14ac:dyDescent="0.35">
      <c r="B6" s="1649"/>
      <c r="C6" s="1651"/>
      <c r="D6" s="1652"/>
      <c r="E6" s="1649"/>
      <c r="F6" s="1649"/>
      <c r="G6" s="1649"/>
      <c r="H6" s="1649"/>
      <c r="J6" s="1640"/>
      <c r="K6" s="1640"/>
      <c r="L6" s="1640"/>
      <c r="M6" s="1640"/>
      <c r="N6" s="1640"/>
      <c r="O6" s="1640"/>
      <c r="P6" s="1640"/>
      <c r="Q6" s="1640"/>
      <c r="R6" s="1640"/>
    </row>
    <row r="7" spans="1:22" ht="21" customHeight="1" x14ac:dyDescent="0.35">
      <c r="B7" s="1650"/>
      <c r="C7" s="360" t="s">
        <v>368</v>
      </c>
      <c r="D7" s="361" t="s">
        <v>369</v>
      </c>
      <c r="E7" s="1650"/>
      <c r="F7" s="362" t="s">
        <v>370</v>
      </c>
      <c r="G7" s="1650"/>
      <c r="H7" s="1650"/>
      <c r="I7" s="353"/>
      <c r="J7" s="354"/>
      <c r="K7" s="354"/>
      <c r="L7" s="354"/>
      <c r="M7" s="354"/>
      <c r="N7" s="338"/>
      <c r="O7" s="338"/>
      <c r="P7" s="338"/>
      <c r="Q7" s="338"/>
      <c r="R7" s="338"/>
      <c r="S7" s="340"/>
    </row>
    <row r="8" spans="1:22" s="365" customFormat="1" ht="21" customHeight="1" x14ac:dyDescent="0.25">
      <c r="B8" s="1641" t="s">
        <v>371</v>
      </c>
      <c r="C8" s="1642"/>
      <c r="D8" s="1642"/>
      <c r="E8" s="1642"/>
      <c r="F8" s="366">
        <f>F9+F34</f>
        <v>104534184.28</v>
      </c>
      <c r="G8" s="367"/>
      <c r="R8" s="353"/>
      <c r="S8" s="353"/>
      <c r="T8" s="353"/>
      <c r="U8" s="353"/>
      <c r="V8" s="353"/>
    </row>
    <row r="9" spans="1:22" s="370" customFormat="1" ht="26.25" customHeight="1" x14ac:dyDescent="0.25">
      <c r="B9" s="371" t="s">
        <v>372</v>
      </c>
      <c r="C9" s="372"/>
      <c r="D9" s="372"/>
      <c r="E9" s="372"/>
      <c r="F9" s="373">
        <f>SUM(F10:F31)</f>
        <v>82984799.890000001</v>
      </c>
      <c r="G9" s="367"/>
      <c r="H9" s="353"/>
      <c r="I9" s="353"/>
      <c r="J9" s="365"/>
      <c r="K9" s="365"/>
      <c r="L9" s="365"/>
      <c r="M9" s="365"/>
      <c r="N9" s="374"/>
      <c r="R9" s="374"/>
      <c r="S9" s="374"/>
      <c r="T9" s="374"/>
      <c r="U9" s="374"/>
      <c r="V9" s="374"/>
    </row>
    <row r="10" spans="1:22" ht="21.75" customHeight="1" x14ac:dyDescent="0.35">
      <c r="A10" s="370"/>
      <c r="B10" s="1045">
        <v>110000060033</v>
      </c>
      <c r="C10" s="871">
        <v>43192</v>
      </c>
      <c r="D10" s="879">
        <v>45019</v>
      </c>
      <c r="E10" s="880" t="s">
        <v>376</v>
      </c>
      <c r="F10" s="881">
        <v>7000000</v>
      </c>
      <c r="G10" s="808">
        <v>2.88</v>
      </c>
      <c r="H10" s="383" t="s">
        <v>375</v>
      </c>
      <c r="I10" s="405">
        <v>957</v>
      </c>
      <c r="K10" s="358">
        <f>F10*G10/100</f>
        <v>201600</v>
      </c>
    </row>
    <row r="11" spans="1:22" s="365" customFormat="1" ht="21.75" customHeight="1" x14ac:dyDescent="0.35">
      <c r="B11" s="1045">
        <v>110000060490</v>
      </c>
      <c r="C11" s="872" t="s">
        <v>377</v>
      </c>
      <c r="D11" s="880" t="s">
        <v>378</v>
      </c>
      <c r="E11" s="880" t="s">
        <v>376</v>
      </c>
      <c r="F11" s="881">
        <v>1500000</v>
      </c>
      <c r="G11" s="808">
        <v>2.88</v>
      </c>
      <c r="H11" s="383" t="s">
        <v>375</v>
      </c>
      <c r="I11" s="405"/>
      <c r="K11" s="358">
        <f>F11*G11/100</f>
        <v>43200</v>
      </c>
      <c r="L11" s="358"/>
      <c r="R11" s="353"/>
      <c r="S11" s="353"/>
      <c r="T11" s="353"/>
      <c r="U11" s="353"/>
      <c r="V11" s="353"/>
    </row>
    <row r="12" spans="1:22" s="365" customFormat="1" ht="21.75" customHeight="1" x14ac:dyDescent="0.35">
      <c r="B12" s="1045">
        <v>110000049072</v>
      </c>
      <c r="C12" s="871">
        <v>42947</v>
      </c>
      <c r="D12" s="871">
        <v>45138</v>
      </c>
      <c r="E12" s="872" t="s">
        <v>379</v>
      </c>
      <c r="F12" s="873">
        <v>1468558.75</v>
      </c>
      <c r="G12" s="649">
        <v>3</v>
      </c>
      <c r="H12" s="383" t="s">
        <v>375</v>
      </c>
      <c r="I12" s="405">
        <v>826</v>
      </c>
      <c r="J12" s="413"/>
      <c r="K12" s="358">
        <f t="shared" ref="K12:K47" si="0">F12*G12/100</f>
        <v>44057</v>
      </c>
      <c r="L12" s="358"/>
      <c r="M12" s="413"/>
      <c r="N12" s="353"/>
      <c r="R12" s="353"/>
      <c r="S12" s="353"/>
      <c r="T12" s="353"/>
      <c r="U12" s="353"/>
      <c r="V12" s="353"/>
    </row>
    <row r="13" spans="1:22" ht="21.75" customHeight="1" x14ac:dyDescent="0.35">
      <c r="A13" s="370"/>
      <c r="B13" s="1213">
        <v>110000052461</v>
      </c>
      <c r="C13" s="879">
        <v>42989</v>
      </c>
      <c r="D13" s="879">
        <v>45180</v>
      </c>
      <c r="E13" s="872" t="s">
        <v>379</v>
      </c>
      <c r="F13" s="881">
        <v>745869</v>
      </c>
      <c r="G13" s="808">
        <v>3</v>
      </c>
      <c r="H13" s="383" t="s">
        <v>375</v>
      </c>
      <c r="I13" s="405">
        <v>2038</v>
      </c>
      <c r="K13" s="358">
        <f t="shared" si="0"/>
        <v>22376</v>
      </c>
    </row>
    <row r="14" spans="1:22" ht="21.75" customHeight="1" x14ac:dyDescent="0.35">
      <c r="A14" s="370"/>
      <c r="B14" s="806">
        <v>110000034964</v>
      </c>
      <c r="C14" s="879">
        <v>43021</v>
      </c>
      <c r="D14" s="879">
        <v>45211</v>
      </c>
      <c r="E14" s="880" t="s">
        <v>379</v>
      </c>
      <c r="F14" s="881">
        <v>25309538.07</v>
      </c>
      <c r="G14" s="808">
        <v>3</v>
      </c>
      <c r="H14" s="383" t="s">
        <v>375</v>
      </c>
      <c r="I14" s="405" t="s">
        <v>380</v>
      </c>
      <c r="K14" s="358">
        <f t="shared" si="0"/>
        <v>759286</v>
      </c>
    </row>
    <row r="15" spans="1:22" ht="21.75" customHeight="1" x14ac:dyDescent="0.35">
      <c r="A15" s="370"/>
      <c r="B15" s="1213">
        <v>110000084901</v>
      </c>
      <c r="C15" s="879">
        <v>44896</v>
      </c>
      <c r="D15" s="880">
        <v>45350</v>
      </c>
      <c r="E15" s="880" t="s">
        <v>470</v>
      </c>
      <c r="F15" s="881">
        <v>585571.36</v>
      </c>
      <c r="G15" s="1214">
        <v>2.25</v>
      </c>
      <c r="H15" s="383"/>
      <c r="I15" s="405"/>
      <c r="K15" s="358">
        <f t="shared" si="0"/>
        <v>13175</v>
      </c>
    </row>
    <row r="16" spans="1:22" ht="21.75" customHeight="1" x14ac:dyDescent="0.35">
      <c r="A16" s="370"/>
      <c r="B16" s="1213">
        <v>110000084035</v>
      </c>
      <c r="C16" s="879">
        <v>44909</v>
      </c>
      <c r="D16" s="880">
        <v>45350</v>
      </c>
      <c r="E16" s="880" t="s">
        <v>649</v>
      </c>
      <c r="F16" s="881">
        <v>2482359.5099999998</v>
      </c>
      <c r="G16" s="1214">
        <v>2.25</v>
      </c>
      <c r="H16" s="383"/>
      <c r="I16" s="405"/>
      <c r="K16" s="358">
        <f t="shared" si="0"/>
        <v>55853</v>
      </c>
    </row>
    <row r="17" spans="1:22" ht="21.75" customHeight="1" x14ac:dyDescent="0.35">
      <c r="A17" s="370"/>
      <c r="B17" s="1213">
        <v>110000084231</v>
      </c>
      <c r="C17" s="879">
        <v>44925</v>
      </c>
      <c r="D17" s="880">
        <v>45350</v>
      </c>
      <c r="E17" s="880" t="s">
        <v>556</v>
      </c>
      <c r="F17" s="881">
        <v>2026981.93</v>
      </c>
      <c r="G17" s="1214">
        <v>2.25</v>
      </c>
      <c r="H17" s="383"/>
      <c r="I17" s="405"/>
      <c r="K17" s="358">
        <f t="shared" si="0"/>
        <v>45607</v>
      </c>
    </row>
    <row r="18" spans="1:22" ht="21.75" customHeight="1" x14ac:dyDescent="0.35">
      <c r="A18" s="370"/>
      <c r="B18" s="1213">
        <v>110000084760</v>
      </c>
      <c r="C18" s="880">
        <v>44971</v>
      </c>
      <c r="D18" s="880">
        <v>45350</v>
      </c>
      <c r="E18" s="880" t="s">
        <v>650</v>
      </c>
      <c r="F18" s="881">
        <v>1149693.78</v>
      </c>
      <c r="G18" s="808">
        <v>2.25</v>
      </c>
      <c r="H18" s="383"/>
      <c r="I18" s="405"/>
      <c r="K18" s="358">
        <f t="shared" si="0"/>
        <v>25868</v>
      </c>
    </row>
    <row r="19" spans="1:22" ht="21.75" customHeight="1" x14ac:dyDescent="0.35">
      <c r="A19" s="370"/>
      <c r="B19" s="1213">
        <v>110000084840</v>
      </c>
      <c r="C19" s="880">
        <v>44985</v>
      </c>
      <c r="D19" s="880">
        <v>45350</v>
      </c>
      <c r="E19" s="880" t="s">
        <v>650</v>
      </c>
      <c r="F19" s="881">
        <v>554025.67000000004</v>
      </c>
      <c r="G19" s="808">
        <v>2.25</v>
      </c>
      <c r="H19" s="383"/>
      <c r="I19" s="405"/>
      <c r="K19" s="358">
        <f t="shared" si="0"/>
        <v>12466</v>
      </c>
    </row>
    <row r="20" spans="1:22" ht="21.75" customHeight="1" x14ac:dyDescent="0.35">
      <c r="A20" s="370"/>
      <c r="B20" s="1213">
        <v>110000083913</v>
      </c>
      <c r="C20" s="880">
        <v>44895</v>
      </c>
      <c r="D20" s="880">
        <v>45350</v>
      </c>
      <c r="E20" s="880" t="s">
        <v>556</v>
      </c>
      <c r="F20" s="881">
        <v>556748.89</v>
      </c>
      <c r="G20" s="808">
        <v>2.25</v>
      </c>
      <c r="H20" s="383"/>
      <c r="I20" s="405"/>
      <c r="K20" s="358">
        <f t="shared" si="0"/>
        <v>12527</v>
      </c>
    </row>
    <row r="21" spans="1:22" s="883" customFormat="1" ht="21.75" customHeight="1" x14ac:dyDescent="0.35">
      <c r="A21" s="1215"/>
      <c r="B21" s="1213">
        <v>110000084320</v>
      </c>
      <c r="C21" s="880">
        <v>44937</v>
      </c>
      <c r="D21" s="879">
        <v>45350</v>
      </c>
      <c r="E21" s="880" t="s">
        <v>470</v>
      </c>
      <c r="F21" s="881">
        <v>196997.36</v>
      </c>
      <c r="G21" s="808">
        <v>2.25</v>
      </c>
      <c r="H21" s="1216"/>
      <c r="I21" s="1217"/>
      <c r="K21" s="358">
        <f t="shared" si="0"/>
        <v>4432</v>
      </c>
      <c r="R21" s="1218"/>
      <c r="S21" s="1218"/>
      <c r="T21" s="1218"/>
      <c r="U21" s="1218"/>
      <c r="V21" s="1218"/>
    </row>
    <row r="22" spans="1:22" s="883" customFormat="1" ht="21.75" customHeight="1" x14ac:dyDescent="0.35">
      <c r="A22" s="1215"/>
      <c r="B22" s="1213">
        <v>110000084330</v>
      </c>
      <c r="C22" s="880">
        <v>44939</v>
      </c>
      <c r="D22" s="879">
        <v>45350</v>
      </c>
      <c r="E22" s="880" t="s">
        <v>470</v>
      </c>
      <c r="F22" s="881">
        <v>618518.81000000006</v>
      </c>
      <c r="G22" s="808">
        <v>2.25</v>
      </c>
      <c r="H22" s="1216" t="s">
        <v>651</v>
      </c>
      <c r="I22" s="1217" t="s">
        <v>575</v>
      </c>
      <c r="K22" s="358">
        <f t="shared" si="0"/>
        <v>13917</v>
      </c>
      <c r="R22" s="1218"/>
      <c r="S22" s="1218"/>
      <c r="T22" s="1218"/>
      <c r="U22" s="1218"/>
      <c r="V22" s="1218"/>
    </row>
    <row r="23" spans="1:22" s="883" customFormat="1" ht="21.75" customHeight="1" x14ac:dyDescent="0.35">
      <c r="A23" s="1215"/>
      <c r="B23" s="1213">
        <v>110000084483</v>
      </c>
      <c r="C23" s="880">
        <v>44950</v>
      </c>
      <c r="D23" s="879">
        <v>45350</v>
      </c>
      <c r="E23" s="880" t="s">
        <v>556</v>
      </c>
      <c r="F23" s="881">
        <v>280160.62</v>
      </c>
      <c r="G23" s="808">
        <v>2.25</v>
      </c>
      <c r="H23" s="1216" t="s">
        <v>375</v>
      </c>
      <c r="I23" s="1217" t="s">
        <v>575</v>
      </c>
      <c r="K23" s="358">
        <f t="shared" si="0"/>
        <v>6304</v>
      </c>
      <c r="R23" s="1218"/>
      <c r="S23" s="1218"/>
      <c r="T23" s="1218"/>
      <c r="U23" s="1218"/>
      <c r="V23" s="1218"/>
    </row>
    <row r="24" spans="1:22" s="883" customFormat="1" ht="21.75" customHeight="1" x14ac:dyDescent="0.35">
      <c r="A24" s="1215"/>
      <c r="B24" s="1213">
        <v>110000084311</v>
      </c>
      <c r="C24" s="880">
        <v>44931</v>
      </c>
      <c r="D24" s="879">
        <v>45350</v>
      </c>
      <c r="E24" s="880" t="s">
        <v>556</v>
      </c>
      <c r="F24" s="881">
        <v>821546.62</v>
      </c>
      <c r="G24" s="808">
        <v>2.25</v>
      </c>
      <c r="H24" s="1216" t="s">
        <v>652</v>
      </c>
      <c r="I24" s="1217" t="s">
        <v>575</v>
      </c>
      <c r="K24" s="358">
        <f t="shared" si="0"/>
        <v>18485</v>
      </c>
      <c r="R24" s="1218"/>
      <c r="S24" s="1218"/>
      <c r="T24" s="1218"/>
      <c r="U24" s="1218"/>
      <c r="V24" s="1218"/>
    </row>
    <row r="25" spans="1:22" s="883" customFormat="1" ht="21.75" customHeight="1" x14ac:dyDescent="0.35">
      <c r="A25" s="1215"/>
      <c r="B25" s="1213">
        <v>110000085186</v>
      </c>
      <c r="C25" s="880" t="s">
        <v>653</v>
      </c>
      <c r="D25" s="879">
        <v>45350</v>
      </c>
      <c r="E25" s="880" t="s">
        <v>556</v>
      </c>
      <c r="F25" s="881">
        <v>2276779.84</v>
      </c>
      <c r="G25" s="808">
        <v>2.25</v>
      </c>
      <c r="H25" s="1216"/>
      <c r="I25" s="1217"/>
      <c r="K25" s="358">
        <f t="shared" si="0"/>
        <v>51228</v>
      </c>
      <c r="R25" s="1218"/>
      <c r="S25" s="1218"/>
      <c r="T25" s="1218"/>
      <c r="U25" s="1218"/>
      <c r="V25" s="1218"/>
    </row>
    <row r="26" spans="1:22" s="365" customFormat="1" ht="21.75" customHeight="1" x14ac:dyDescent="0.35">
      <c r="B26" s="1045">
        <v>110000060042</v>
      </c>
      <c r="C26" s="871">
        <v>43192</v>
      </c>
      <c r="D26" s="871">
        <v>45749</v>
      </c>
      <c r="E26" s="872" t="s">
        <v>381</v>
      </c>
      <c r="F26" s="873">
        <v>14213000</v>
      </c>
      <c r="G26" s="649">
        <v>3.15</v>
      </c>
      <c r="H26" s="383" t="s">
        <v>375</v>
      </c>
      <c r="I26" s="405"/>
      <c r="K26" s="358">
        <f t="shared" si="0"/>
        <v>447710</v>
      </c>
      <c r="R26" s="353"/>
      <c r="S26" s="353"/>
      <c r="T26" s="353"/>
      <c r="U26" s="353"/>
      <c r="V26" s="353"/>
    </row>
    <row r="27" spans="1:22" s="365" customFormat="1" ht="21.75" customHeight="1" x14ac:dyDescent="0.35">
      <c r="B27" s="1045">
        <v>110000060392</v>
      </c>
      <c r="C27" s="872" t="s">
        <v>377</v>
      </c>
      <c r="D27" s="880" t="s">
        <v>382</v>
      </c>
      <c r="E27" s="880" t="s">
        <v>381</v>
      </c>
      <c r="F27" s="881">
        <v>3097662</v>
      </c>
      <c r="G27" s="808">
        <v>3.15</v>
      </c>
      <c r="H27" s="383" t="s">
        <v>375</v>
      </c>
      <c r="I27" s="405"/>
      <c r="K27" s="358">
        <f t="shared" si="0"/>
        <v>97576</v>
      </c>
      <c r="R27" s="353"/>
      <c r="S27" s="353"/>
      <c r="T27" s="353"/>
      <c r="U27" s="353"/>
      <c r="V27" s="353"/>
    </row>
    <row r="28" spans="1:22" s="359" customFormat="1" ht="21.75" customHeight="1" x14ac:dyDescent="0.35">
      <c r="A28" s="341"/>
      <c r="B28" s="644">
        <v>110000055015</v>
      </c>
      <c r="C28" s="871">
        <v>42964</v>
      </c>
      <c r="D28" s="871">
        <v>45887</v>
      </c>
      <c r="E28" s="872" t="s">
        <v>383</v>
      </c>
      <c r="F28" s="873">
        <f>15000000-554.52-554.52-554.52-554.52-554.52-554.52-554.52</f>
        <v>14996118.359999999</v>
      </c>
      <c r="G28" s="649">
        <v>3.25</v>
      </c>
      <c r="H28" s="383" t="s">
        <v>375</v>
      </c>
      <c r="I28" s="405" t="s">
        <v>384</v>
      </c>
      <c r="J28" s="358"/>
      <c r="K28" s="358">
        <f t="shared" si="0"/>
        <v>487374</v>
      </c>
      <c r="L28" s="358"/>
      <c r="M28" s="358"/>
      <c r="N28" s="355"/>
      <c r="O28" s="355"/>
      <c r="P28" s="355"/>
      <c r="Q28" s="355"/>
    </row>
    <row r="29" spans="1:22" s="359" customFormat="1" ht="21.75" customHeight="1" x14ac:dyDescent="0.35">
      <c r="A29" s="341"/>
      <c r="B29" s="644">
        <v>110000052935</v>
      </c>
      <c r="C29" s="871">
        <v>42975</v>
      </c>
      <c r="D29" s="871">
        <v>45897</v>
      </c>
      <c r="E29" s="872" t="s">
        <v>383</v>
      </c>
      <c r="F29" s="873">
        <v>2925441.92</v>
      </c>
      <c r="G29" s="649">
        <v>3.25</v>
      </c>
      <c r="H29" s="383" t="s">
        <v>375</v>
      </c>
      <c r="I29" s="405" t="s">
        <v>385</v>
      </c>
      <c r="J29" s="358"/>
      <c r="K29" s="358">
        <f t="shared" si="0"/>
        <v>95077</v>
      </c>
      <c r="L29" s="358"/>
      <c r="M29" s="358"/>
      <c r="N29" s="355"/>
      <c r="O29" s="355"/>
      <c r="P29" s="355"/>
      <c r="Q29" s="355"/>
    </row>
    <row r="30" spans="1:22" ht="21.75" customHeight="1" x14ac:dyDescent="0.35">
      <c r="A30" s="370"/>
      <c r="B30" s="1219">
        <v>110000084017</v>
      </c>
      <c r="C30" s="1220">
        <v>44902</v>
      </c>
      <c r="D30" s="1220">
        <v>46000</v>
      </c>
      <c r="E30" s="1221" t="s">
        <v>477</v>
      </c>
      <c r="F30" s="1222">
        <v>179227.4</v>
      </c>
      <c r="G30" s="1223">
        <v>3.25</v>
      </c>
      <c r="H30" s="383" t="s">
        <v>375</v>
      </c>
      <c r="I30" s="405" t="s">
        <v>385</v>
      </c>
      <c r="K30" s="358">
        <f t="shared" si="0"/>
        <v>5825</v>
      </c>
      <c r="N30" s="1224">
        <f>180336.44-554.52-554.52</f>
        <v>179227.4</v>
      </c>
    </row>
    <row r="31" spans="1:22" ht="21" hidden="1" customHeight="1" x14ac:dyDescent="0.35">
      <c r="A31" s="370"/>
      <c r="B31" s="1225" t="s">
        <v>386</v>
      </c>
      <c r="C31" s="1226"/>
      <c r="D31" s="1227"/>
      <c r="E31" s="1060"/>
      <c r="F31" s="1228">
        <f>SUM(F32)</f>
        <v>0</v>
      </c>
      <c r="G31" s="1229"/>
      <c r="H31" s="426"/>
      <c r="I31" s="405"/>
      <c r="K31" s="358">
        <f>F31*G31/100</f>
        <v>0</v>
      </c>
    </row>
    <row r="32" spans="1:22" s="429" customFormat="1" ht="21" hidden="1" customHeight="1" x14ac:dyDescent="0.35">
      <c r="A32" s="386"/>
      <c r="B32" s="1045"/>
      <c r="C32" s="646"/>
      <c r="D32" s="1230"/>
      <c r="E32" s="1231"/>
      <c r="F32" s="807"/>
      <c r="G32" s="808"/>
      <c r="H32" s="393"/>
      <c r="I32" s="391"/>
      <c r="J32" s="428"/>
      <c r="K32" s="358">
        <f t="shared" si="0"/>
        <v>0</v>
      </c>
      <c r="L32" s="428"/>
      <c r="M32" s="428"/>
      <c r="R32" s="430"/>
      <c r="S32" s="430"/>
      <c r="T32" s="430"/>
      <c r="U32" s="430"/>
      <c r="V32" s="430"/>
    </row>
    <row r="33" spans="1:22" ht="25.5" hidden="1" customHeight="1" x14ac:dyDescent="0.35">
      <c r="A33" s="370"/>
      <c r="B33" s="812"/>
      <c r="C33" s="813"/>
      <c r="D33" s="814"/>
      <c r="E33" s="814"/>
      <c r="F33" s="815"/>
      <c r="G33" s="816"/>
      <c r="H33" s="353"/>
      <c r="I33" s="405"/>
      <c r="K33" s="358">
        <f t="shared" si="0"/>
        <v>0</v>
      </c>
    </row>
    <row r="34" spans="1:22" ht="21" customHeight="1" x14ac:dyDescent="0.35">
      <c r="A34" s="370"/>
      <c r="B34" s="1232" t="s">
        <v>401</v>
      </c>
      <c r="C34" s="1233"/>
      <c r="D34" s="1233"/>
      <c r="E34" s="1233"/>
      <c r="F34" s="1234">
        <f>SUM(F35:F47)</f>
        <v>21549384.390000001</v>
      </c>
      <c r="G34" s="1235"/>
      <c r="H34" s="353"/>
      <c r="I34" s="405"/>
      <c r="K34" s="429">
        <f>SUM(K10:K33)</f>
        <v>2463943</v>
      </c>
      <c r="L34" s="1236">
        <f>K34/F9</f>
        <v>2.9690000000000001E-2</v>
      </c>
    </row>
    <row r="35" spans="1:22" ht="25.5" hidden="1" customHeight="1" x14ac:dyDescent="0.35">
      <c r="A35" s="370"/>
      <c r="B35" s="644"/>
      <c r="C35" s="871"/>
      <c r="D35" s="871"/>
      <c r="E35" s="872"/>
      <c r="F35" s="873"/>
      <c r="G35" s="808"/>
      <c r="H35" s="821" t="s">
        <v>375</v>
      </c>
      <c r="I35" s="1211" t="s">
        <v>555</v>
      </c>
      <c r="J35" s="1212"/>
      <c r="K35" s="358">
        <f t="shared" si="0"/>
        <v>0</v>
      </c>
      <c r="L35" s="1212"/>
      <c r="M35" s="1212"/>
    </row>
    <row r="36" spans="1:22" ht="20.149999999999999" customHeight="1" x14ac:dyDescent="0.35">
      <c r="A36" s="370"/>
      <c r="B36" s="806" t="s">
        <v>654</v>
      </c>
      <c r="C36" s="880" t="s">
        <v>655</v>
      </c>
      <c r="D36" s="880">
        <v>45022</v>
      </c>
      <c r="E36" s="880" t="s">
        <v>469</v>
      </c>
      <c r="F36" s="881">
        <v>10000000</v>
      </c>
      <c r="G36" s="808">
        <v>3.85</v>
      </c>
      <c r="H36" s="821"/>
      <c r="I36" s="1211"/>
      <c r="J36" s="1212"/>
      <c r="K36" s="358">
        <f t="shared" si="0"/>
        <v>385000</v>
      </c>
      <c r="L36" s="1212"/>
      <c r="M36" s="1212"/>
    </row>
    <row r="37" spans="1:22" ht="20.149999999999999" customHeight="1" x14ac:dyDescent="0.35">
      <c r="A37" s="370"/>
      <c r="B37" s="644" t="s">
        <v>656</v>
      </c>
      <c r="C37" s="871">
        <v>44909</v>
      </c>
      <c r="D37" s="871">
        <v>45350</v>
      </c>
      <c r="E37" s="872" t="s">
        <v>649</v>
      </c>
      <c r="F37" s="873">
        <v>2482359.5099999998</v>
      </c>
      <c r="G37" s="808">
        <v>2.25</v>
      </c>
      <c r="H37" s="821" t="s">
        <v>375</v>
      </c>
      <c r="I37" s="1211" t="s">
        <v>657</v>
      </c>
      <c r="J37" s="1212"/>
      <c r="K37" s="358">
        <f t="shared" si="0"/>
        <v>55853</v>
      </c>
      <c r="L37" s="1212"/>
      <c r="M37" s="1212"/>
    </row>
    <row r="38" spans="1:22" ht="20.149999999999999" customHeight="1" x14ac:dyDescent="0.35">
      <c r="A38" s="370"/>
      <c r="B38" s="644" t="s">
        <v>658</v>
      </c>
      <c r="C38" s="879">
        <v>44895</v>
      </c>
      <c r="D38" s="871">
        <v>45350</v>
      </c>
      <c r="E38" s="880" t="s">
        <v>470</v>
      </c>
      <c r="F38" s="881">
        <v>556748.89</v>
      </c>
      <c r="G38" s="1237">
        <v>2.25</v>
      </c>
      <c r="H38" s="821" t="s">
        <v>375</v>
      </c>
      <c r="I38" s="1694" t="s">
        <v>555</v>
      </c>
      <c r="J38" s="1695"/>
      <c r="K38" s="358">
        <f t="shared" si="0"/>
        <v>12527</v>
      </c>
      <c r="L38" s="1212"/>
      <c r="M38" s="1212"/>
    </row>
    <row r="39" spans="1:22" ht="20.149999999999999" customHeight="1" x14ac:dyDescent="0.35">
      <c r="A39" s="370"/>
      <c r="B39" s="644" t="s">
        <v>659</v>
      </c>
      <c r="C39" s="879">
        <v>44604</v>
      </c>
      <c r="D39" s="871">
        <v>45350</v>
      </c>
      <c r="E39" s="880" t="s">
        <v>470</v>
      </c>
      <c r="F39" s="881">
        <v>585571.36</v>
      </c>
      <c r="G39" s="1237">
        <v>2.25</v>
      </c>
      <c r="H39" s="821"/>
      <c r="I39" s="1211"/>
      <c r="J39" s="1212"/>
      <c r="K39" s="358">
        <f t="shared" si="0"/>
        <v>13175</v>
      </c>
      <c r="L39" s="1212"/>
      <c r="M39" s="1212"/>
    </row>
    <row r="40" spans="1:22" ht="20.149999999999999" customHeight="1" x14ac:dyDescent="0.35">
      <c r="A40" s="370"/>
      <c r="B40" s="644" t="s">
        <v>660</v>
      </c>
      <c r="C40" s="871">
        <v>44971</v>
      </c>
      <c r="D40" s="871">
        <v>45350</v>
      </c>
      <c r="E40" s="872" t="s">
        <v>650</v>
      </c>
      <c r="F40" s="873">
        <v>1149693.78</v>
      </c>
      <c r="G40" s="808">
        <v>2.25</v>
      </c>
      <c r="H40" s="821"/>
      <c r="I40" s="1211"/>
      <c r="J40" s="1212"/>
      <c r="K40" s="358">
        <f t="shared" si="0"/>
        <v>25868</v>
      </c>
      <c r="L40" s="1212"/>
      <c r="M40" s="1212"/>
    </row>
    <row r="41" spans="1:22" ht="20.149999999999999" customHeight="1" x14ac:dyDescent="0.35">
      <c r="A41" s="370"/>
      <c r="B41" s="806" t="s">
        <v>661</v>
      </c>
      <c r="C41" s="880">
        <v>44985</v>
      </c>
      <c r="D41" s="880">
        <v>45350</v>
      </c>
      <c r="E41" s="880" t="s">
        <v>650</v>
      </c>
      <c r="F41" s="881">
        <v>554025.67000000004</v>
      </c>
      <c r="G41" s="808">
        <v>2.25</v>
      </c>
      <c r="H41" s="821"/>
      <c r="I41" s="1211"/>
      <c r="J41" s="1212"/>
      <c r="K41" s="358">
        <f t="shared" si="0"/>
        <v>12466</v>
      </c>
      <c r="L41" s="1212"/>
      <c r="M41" s="1212"/>
    </row>
    <row r="42" spans="1:22" s="1241" customFormat="1" ht="20.149999999999999" customHeight="1" x14ac:dyDescent="0.35">
      <c r="A42" s="1215"/>
      <c r="B42" s="806" t="s">
        <v>662</v>
      </c>
      <c r="C42" s="879">
        <v>44937</v>
      </c>
      <c r="D42" s="879">
        <v>45350</v>
      </c>
      <c r="E42" s="880" t="s">
        <v>556</v>
      </c>
      <c r="F42" s="881">
        <v>196997.36</v>
      </c>
      <c r="G42" s="808">
        <v>2.25</v>
      </c>
      <c r="H42" s="1238"/>
      <c r="I42" s="1239"/>
      <c r="J42" s="1240"/>
      <c r="K42" s="358">
        <f t="shared" si="0"/>
        <v>4432</v>
      </c>
      <c r="L42" s="1240"/>
      <c r="M42" s="1240"/>
      <c r="R42" s="1242"/>
      <c r="S42" s="1242"/>
      <c r="T42" s="1242"/>
      <c r="U42" s="1242"/>
      <c r="V42" s="1242"/>
    </row>
    <row r="43" spans="1:22" s="1241" customFormat="1" ht="20.149999999999999" customHeight="1" x14ac:dyDescent="0.35">
      <c r="A43" s="1215"/>
      <c r="B43" s="806" t="s">
        <v>663</v>
      </c>
      <c r="C43" s="879">
        <v>44939</v>
      </c>
      <c r="D43" s="879">
        <v>45350</v>
      </c>
      <c r="E43" s="880" t="s">
        <v>556</v>
      </c>
      <c r="F43" s="881">
        <v>618518.81000000006</v>
      </c>
      <c r="G43" s="808">
        <v>2.25</v>
      </c>
      <c r="H43" s="1238"/>
      <c r="I43" s="1239"/>
      <c r="J43" s="1240"/>
      <c r="K43" s="358">
        <f t="shared" si="0"/>
        <v>13917</v>
      </c>
      <c r="L43" s="1240"/>
      <c r="M43" s="1240"/>
      <c r="R43" s="1242"/>
      <c r="S43" s="1242"/>
      <c r="T43" s="1242"/>
      <c r="U43" s="1242"/>
      <c r="V43" s="1242"/>
    </row>
    <row r="44" spans="1:22" s="1241" customFormat="1" ht="20.149999999999999" customHeight="1" x14ac:dyDescent="0.35">
      <c r="A44" s="1215"/>
      <c r="B44" s="806" t="s">
        <v>664</v>
      </c>
      <c r="C44" s="879">
        <v>44950</v>
      </c>
      <c r="D44" s="879">
        <v>45350</v>
      </c>
      <c r="E44" s="880" t="s">
        <v>556</v>
      </c>
      <c r="F44" s="881">
        <v>280160.62</v>
      </c>
      <c r="G44" s="808">
        <v>2.25</v>
      </c>
      <c r="H44" s="1238"/>
      <c r="I44" s="1239"/>
      <c r="J44" s="1240"/>
      <c r="K44" s="358">
        <f t="shared" si="0"/>
        <v>6304</v>
      </c>
      <c r="L44" s="1240"/>
      <c r="M44" s="1240"/>
      <c r="R44" s="1242"/>
      <c r="S44" s="1242"/>
      <c r="T44" s="1242"/>
      <c r="U44" s="1242"/>
      <c r="V44" s="1242"/>
    </row>
    <row r="45" spans="1:22" s="1241" customFormat="1" ht="20.149999999999999" customHeight="1" x14ac:dyDescent="0.35">
      <c r="A45" s="1215"/>
      <c r="B45" s="806" t="s">
        <v>665</v>
      </c>
      <c r="C45" s="879">
        <v>44932</v>
      </c>
      <c r="D45" s="879">
        <v>45350</v>
      </c>
      <c r="E45" s="880" t="s">
        <v>556</v>
      </c>
      <c r="F45" s="881">
        <v>821546.62</v>
      </c>
      <c r="G45" s="808">
        <v>2.25</v>
      </c>
      <c r="H45" s="1238"/>
      <c r="I45" s="1239"/>
      <c r="J45" s="1240"/>
      <c r="K45" s="358">
        <f t="shared" si="0"/>
        <v>18485</v>
      </c>
      <c r="L45" s="1240"/>
      <c r="M45" s="1240"/>
      <c r="R45" s="1242"/>
      <c r="S45" s="1242"/>
      <c r="T45" s="1242"/>
      <c r="U45" s="1242"/>
      <c r="V45" s="1242"/>
    </row>
    <row r="46" spans="1:22" s="1241" customFormat="1" ht="20.149999999999999" customHeight="1" x14ac:dyDescent="0.35">
      <c r="A46" s="1215"/>
      <c r="B46" s="806" t="s">
        <v>666</v>
      </c>
      <c r="C46" s="879">
        <v>44925</v>
      </c>
      <c r="D46" s="879" t="s">
        <v>667</v>
      </c>
      <c r="E46" s="880" t="s">
        <v>668</v>
      </c>
      <c r="F46" s="881">
        <v>2026981.93</v>
      </c>
      <c r="G46" s="808">
        <v>2.25</v>
      </c>
      <c r="H46" s="1238"/>
      <c r="I46" s="1239"/>
      <c r="J46" s="1240"/>
      <c r="K46" s="358">
        <f t="shared" si="0"/>
        <v>45607</v>
      </c>
      <c r="L46" s="1240"/>
      <c r="M46" s="1240"/>
      <c r="R46" s="1242"/>
      <c r="S46" s="1242"/>
      <c r="T46" s="1242"/>
      <c r="U46" s="1242"/>
      <c r="V46" s="1242"/>
    </row>
    <row r="47" spans="1:22" s="1241" customFormat="1" ht="20.149999999999999" customHeight="1" x14ac:dyDescent="0.35">
      <c r="A47" s="1215"/>
      <c r="B47" s="806" t="s">
        <v>669</v>
      </c>
      <c r="C47" s="879" t="s">
        <v>653</v>
      </c>
      <c r="D47" s="879">
        <v>45350</v>
      </c>
      <c r="E47" s="880" t="s">
        <v>556</v>
      </c>
      <c r="F47" s="881">
        <v>2276779.84</v>
      </c>
      <c r="G47" s="808">
        <v>2.25</v>
      </c>
      <c r="H47" s="1238" t="s">
        <v>670</v>
      </c>
      <c r="I47" s="1243"/>
      <c r="J47" s="1244"/>
      <c r="K47" s="358">
        <f t="shared" si="0"/>
        <v>51228</v>
      </c>
      <c r="L47" s="1244"/>
      <c r="M47" s="1244"/>
      <c r="N47" s="1244"/>
      <c r="R47" s="1242"/>
      <c r="S47" s="1242"/>
      <c r="T47" s="1242"/>
      <c r="U47" s="1242"/>
      <c r="V47" s="1242"/>
    </row>
    <row r="48" spans="1:22" ht="21" customHeight="1" x14ac:dyDescent="0.35">
      <c r="B48" s="1245" t="s">
        <v>18</v>
      </c>
      <c r="C48" s="1246"/>
      <c r="D48" s="1247"/>
      <c r="E48" s="1247"/>
      <c r="F48" s="1247"/>
      <c r="G48" s="1248"/>
      <c r="K48" s="429">
        <f>SUM(K36:K47)</f>
        <v>644862</v>
      </c>
      <c r="L48" s="1253">
        <f>K48/F34</f>
        <v>2.9899999999999999E-2</v>
      </c>
    </row>
    <row r="49" spans="2:13" s="355" customFormat="1" ht="21" customHeight="1" x14ac:dyDescent="0.35">
      <c r="B49" s="889" t="str">
        <f>[11]SEGUROS!$B$55</f>
        <v xml:space="preserve">FUENTE: DEPTO DE TESORERIA - DNF </v>
      </c>
      <c r="C49" s="1249"/>
      <c r="D49" s="1249"/>
      <c r="E49" s="1716"/>
      <c r="F49" s="1716"/>
      <c r="G49" s="1250"/>
      <c r="H49" s="442"/>
      <c r="I49" s="442"/>
      <c r="J49" s="442"/>
      <c r="K49" s="442"/>
      <c r="L49" s="442"/>
      <c r="M49" s="442"/>
    </row>
    <row r="50" spans="2:13" s="355" customFormat="1" ht="21" customHeight="1" x14ac:dyDescent="0.35">
      <c r="B50" s="890" t="str">
        <f>'[11]RESUMEN '!B45:K45</f>
        <v>29/03/2023</v>
      </c>
      <c r="C50" s="1251"/>
      <c r="D50" s="1251"/>
      <c r="E50" s="1251"/>
      <c r="F50" s="1251"/>
      <c r="G50" s="1252"/>
      <c r="H50" s="358"/>
      <c r="I50" s="358"/>
      <c r="J50" s="358"/>
      <c r="K50" s="358"/>
      <c r="L50" s="358"/>
      <c r="M50" s="358"/>
    </row>
    <row r="51" spans="2:13" s="355" customFormat="1" ht="21" customHeight="1" x14ac:dyDescent="0.35">
      <c r="B51" s="677" t="str">
        <f>'[11]VENC. '!B$206</f>
        <v>Preparado por:    _______________________________________</v>
      </c>
      <c r="C51" s="453"/>
      <c r="D51" s="1656" t="str">
        <f>'[11]VENC. '!D$206</f>
        <v>Revisado por:      ___________________________________</v>
      </c>
      <c r="E51" s="1656"/>
      <c r="F51" s="1656"/>
      <c r="G51" s="1657"/>
      <c r="H51" s="358"/>
      <c r="I51" s="358"/>
      <c r="J51" s="358"/>
      <c r="K51" s="358"/>
      <c r="L51" s="358"/>
      <c r="M51" s="358"/>
    </row>
    <row r="52" spans="2:13" s="355" customFormat="1" ht="15" customHeight="1" x14ac:dyDescent="0.35">
      <c r="B52" s="1717" t="str">
        <f>'[11]VENC. '!B$207</f>
        <v>Julio C. Pérez</v>
      </c>
      <c r="C52" s="1718"/>
      <c r="D52" s="1656" t="str">
        <f>'[11]VENC. '!D$207</f>
        <v>Lic. Matilde Jordán</v>
      </c>
      <c r="E52" s="1656"/>
      <c r="F52" s="1656"/>
      <c r="G52" s="1657"/>
      <c r="H52" s="358"/>
      <c r="I52" s="358"/>
      <c r="J52" s="358"/>
      <c r="K52" s="358"/>
      <c r="L52" s="358"/>
      <c r="M52" s="358"/>
    </row>
    <row r="53" spans="2:13" s="355" customFormat="1" ht="17.25" customHeight="1" x14ac:dyDescent="0.35">
      <c r="B53" s="1714" t="str">
        <f>'[11]VENC. '!B$208</f>
        <v>Analista Financiero</v>
      </c>
      <c r="C53" s="1715"/>
      <c r="D53" s="1664" t="str">
        <f>'[11]VENC. '!D$208</f>
        <v>Jefa del Departamento de Tesorería.</v>
      </c>
      <c r="E53" s="1664"/>
      <c r="F53" s="1664"/>
      <c r="G53" s="1665"/>
      <c r="H53" s="358"/>
      <c r="I53" s="358"/>
      <c r="J53" s="358"/>
      <c r="K53" s="358"/>
      <c r="L53" s="358"/>
      <c r="M53" s="358"/>
    </row>
    <row r="54" spans="2:13" s="355" customFormat="1" ht="21" customHeight="1" x14ac:dyDescent="0.35">
      <c r="B54" s="453"/>
      <c r="C54" s="453"/>
      <c r="D54" s="453"/>
      <c r="E54" s="453"/>
      <c r="F54" s="453"/>
      <c r="G54" s="453"/>
      <c r="H54" s="358"/>
      <c r="I54" s="358"/>
      <c r="J54" s="358"/>
      <c r="K54" s="358"/>
      <c r="L54" s="358"/>
      <c r="M54" s="358"/>
    </row>
    <row r="55" spans="2:13" s="355" customFormat="1" ht="21" customHeight="1" x14ac:dyDescent="0.35">
      <c r="B55" s="344"/>
      <c r="C55" s="344"/>
      <c r="D55" s="455"/>
      <c r="E55" s="336"/>
      <c r="F55" s="456"/>
      <c r="G55" s="457"/>
      <c r="H55" s="358"/>
      <c r="I55" s="358"/>
      <c r="J55" s="358"/>
      <c r="K55" s="358"/>
      <c r="L55" s="358"/>
      <c r="M55" s="358"/>
    </row>
    <row r="56" spans="2:13" s="355" customFormat="1" ht="21" customHeight="1" x14ac:dyDescent="0.35">
      <c r="B56" s="459" t="s">
        <v>671</v>
      </c>
      <c r="C56" s="456"/>
      <c r="D56" s="456"/>
      <c r="E56" s="456"/>
      <c r="F56" s="456"/>
      <c r="G56" s="457"/>
      <c r="H56" s="358"/>
      <c r="I56" s="358"/>
      <c r="J56" s="358"/>
      <c r="K56" s="358"/>
      <c r="L56" s="358"/>
      <c r="M56" s="358"/>
    </row>
    <row r="57" spans="2:13" s="355" customFormat="1" ht="21" customHeight="1" x14ac:dyDescent="0.35">
      <c r="B57" s="806">
        <v>110000082863</v>
      </c>
      <c r="C57" s="645">
        <v>44819</v>
      </c>
      <c r="D57" s="871">
        <v>44909</v>
      </c>
      <c r="E57" s="872" t="s">
        <v>556</v>
      </c>
      <c r="F57" s="881">
        <v>508779.38</v>
      </c>
      <c r="G57" s="808">
        <v>2.25</v>
      </c>
      <c r="H57" s="358"/>
      <c r="I57" s="358"/>
      <c r="J57" s="358"/>
      <c r="K57" s="358"/>
      <c r="L57" s="358"/>
      <c r="M57" s="358"/>
    </row>
    <row r="58" spans="2:13" s="355" customFormat="1" ht="21" customHeight="1" x14ac:dyDescent="0.35">
      <c r="B58" s="806">
        <v>110000083243</v>
      </c>
      <c r="C58" s="645">
        <v>44834</v>
      </c>
      <c r="D58" s="871">
        <v>44924</v>
      </c>
      <c r="E58" s="872" t="s">
        <v>556</v>
      </c>
      <c r="F58" s="881">
        <v>907719.63</v>
      </c>
      <c r="G58" s="808">
        <v>2.25</v>
      </c>
      <c r="H58" s="358"/>
      <c r="I58" s="358"/>
      <c r="J58" s="358"/>
      <c r="K58" s="358"/>
      <c r="L58" s="358"/>
      <c r="M58" s="358"/>
    </row>
    <row r="59" spans="2:13" s="355" customFormat="1" ht="21" customHeight="1" x14ac:dyDescent="0.35">
      <c r="B59" s="644" t="s">
        <v>559</v>
      </c>
      <c r="C59" s="871">
        <v>44820</v>
      </c>
      <c r="D59" s="871">
        <v>44910</v>
      </c>
      <c r="E59" s="872" t="s">
        <v>556</v>
      </c>
      <c r="F59" s="873">
        <v>508779.38</v>
      </c>
      <c r="G59" s="808">
        <v>2.25</v>
      </c>
      <c r="H59" s="358"/>
      <c r="I59" s="358"/>
      <c r="J59" s="358"/>
      <c r="K59" s="358"/>
      <c r="L59" s="358"/>
      <c r="M59" s="358"/>
    </row>
    <row r="60" spans="2:13" s="355" customFormat="1" ht="21" customHeight="1" x14ac:dyDescent="0.35">
      <c r="B60" s="644" t="s">
        <v>560</v>
      </c>
      <c r="C60" s="871">
        <v>44834</v>
      </c>
      <c r="D60" s="871">
        <v>44924</v>
      </c>
      <c r="E60" s="872" t="s">
        <v>556</v>
      </c>
      <c r="F60" s="873">
        <v>907719.63</v>
      </c>
      <c r="G60" s="808">
        <v>2.25</v>
      </c>
      <c r="H60" s="358"/>
      <c r="I60" s="358"/>
      <c r="J60" s="358"/>
      <c r="K60" s="358"/>
      <c r="L60" s="358"/>
      <c r="M60" s="358"/>
    </row>
    <row r="61" spans="2:13" s="355" customFormat="1" ht="21" customHeight="1" x14ac:dyDescent="0.35">
      <c r="B61" s="806" t="s">
        <v>672</v>
      </c>
      <c r="C61" s="879">
        <v>44888</v>
      </c>
      <c r="D61" s="879">
        <v>44909</v>
      </c>
      <c r="E61" s="880" t="s">
        <v>469</v>
      </c>
      <c r="F61" s="881">
        <v>7100000</v>
      </c>
      <c r="G61" s="1062">
        <v>2.8</v>
      </c>
      <c r="H61" s="358"/>
      <c r="I61" s="358"/>
      <c r="J61" s="358"/>
      <c r="K61" s="358"/>
      <c r="L61" s="358"/>
      <c r="M61" s="358"/>
    </row>
  </sheetData>
  <mergeCells count="21">
    <mergeCell ref="B53:C53"/>
    <mergeCell ref="D53:G53"/>
    <mergeCell ref="J5:R6"/>
    <mergeCell ref="B8:E8"/>
    <mergeCell ref="I38:J38"/>
    <mergeCell ref="E49:F49"/>
    <mergeCell ref="D51:G51"/>
    <mergeCell ref="B52:C52"/>
    <mergeCell ref="D52:G52"/>
    <mergeCell ref="B5:B7"/>
    <mergeCell ref="C5:D6"/>
    <mergeCell ref="E5:E7"/>
    <mergeCell ref="F5:F6"/>
    <mergeCell ref="G5:G7"/>
    <mergeCell ref="H5:H7"/>
    <mergeCell ref="N1:R1"/>
    <mergeCell ref="B2:G2"/>
    <mergeCell ref="J2:R2"/>
    <mergeCell ref="B3:G3"/>
    <mergeCell ref="J3:J4"/>
    <mergeCell ref="B4:G4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S62"/>
  <sheetViews>
    <sheetView topLeftCell="A25" workbookViewId="0">
      <selection activeCell="L27" sqref="L27"/>
    </sheetView>
  </sheetViews>
  <sheetFormatPr baseColWidth="10" defaultColWidth="21.1796875" defaultRowHeight="15.5" x14ac:dyDescent="0.35"/>
  <cols>
    <col min="1" max="1" width="8.54296875" style="355" customWidth="1"/>
    <col min="2" max="2" width="21.54296875" style="453" customWidth="1"/>
    <col min="3" max="3" width="17.7265625" style="453" customWidth="1"/>
    <col min="4" max="4" width="19.1796875" style="453" customWidth="1"/>
    <col min="5" max="5" width="12.26953125" style="453" customWidth="1"/>
    <col min="6" max="6" width="26.81640625" style="453" customWidth="1"/>
    <col min="7" max="7" width="18.81640625" style="344" customWidth="1"/>
    <col min="8" max="8" width="30.81640625" style="891" hidden="1" customWidth="1"/>
    <col min="9" max="9" width="15.81640625" style="358" hidden="1" customWidth="1"/>
    <col min="10" max="10" width="21.1796875" style="358" hidden="1" customWidth="1"/>
    <col min="11" max="14" width="21.1796875" style="355"/>
    <col min="15" max="19" width="21.1796875" style="359"/>
    <col min="20" max="16384" width="21.1796875" style="355"/>
  </cols>
  <sheetData>
    <row r="1" spans="1:19" s="331" customFormat="1" ht="21.75" customHeight="1" x14ac:dyDescent="0.25">
      <c r="B1" s="956"/>
      <c r="C1" s="957"/>
      <c r="D1" s="957"/>
      <c r="E1" s="957"/>
      <c r="F1" s="957"/>
      <c r="G1" s="958" t="s">
        <v>425</v>
      </c>
      <c r="H1" s="833"/>
      <c r="I1" s="337"/>
      <c r="J1" s="338"/>
      <c r="K1" s="1654"/>
      <c r="L1" s="1654"/>
      <c r="M1" s="1654"/>
      <c r="N1" s="1654"/>
      <c r="O1" s="1654"/>
      <c r="P1" s="340"/>
      <c r="Q1" s="340"/>
      <c r="R1" s="340"/>
      <c r="S1" s="340"/>
    </row>
    <row r="2" spans="1:19" s="341" customFormat="1" ht="13.5" customHeight="1" x14ac:dyDescent="0.25">
      <c r="B2" s="1655" t="s">
        <v>0</v>
      </c>
      <c r="C2" s="1656"/>
      <c r="D2" s="1656"/>
      <c r="E2" s="1656"/>
      <c r="F2" s="1656"/>
      <c r="G2" s="1657"/>
      <c r="H2" s="834"/>
      <c r="I2" s="345"/>
      <c r="J2" s="1658"/>
      <c r="K2" s="1658"/>
      <c r="L2" s="1658"/>
      <c r="M2" s="1658"/>
      <c r="N2" s="1658"/>
      <c r="O2" s="1658"/>
      <c r="P2" s="346"/>
      <c r="Q2" s="346"/>
      <c r="R2" s="346"/>
      <c r="S2" s="346"/>
    </row>
    <row r="3" spans="1:19" s="352" customFormat="1" ht="13.5" customHeight="1" x14ac:dyDescent="0.25">
      <c r="A3" s="347"/>
      <c r="B3" s="1659" t="s">
        <v>426</v>
      </c>
      <c r="C3" s="1660"/>
      <c r="D3" s="1660"/>
      <c r="E3" s="1660"/>
      <c r="F3" s="1660"/>
      <c r="G3" s="1661"/>
      <c r="H3" s="835"/>
      <c r="I3" s="350"/>
      <c r="J3" s="1662"/>
      <c r="K3" s="351"/>
      <c r="L3" s="351"/>
      <c r="M3" s="351"/>
      <c r="N3" s="351"/>
      <c r="O3" s="351"/>
      <c r="P3" s="346"/>
      <c r="Q3" s="346"/>
      <c r="R3" s="346"/>
      <c r="S3" s="347"/>
    </row>
    <row r="4" spans="1:19" s="352" customFormat="1" ht="13.5" customHeight="1" x14ac:dyDescent="0.25">
      <c r="A4" s="347"/>
      <c r="B4" s="1659" t="s">
        <v>427</v>
      </c>
      <c r="C4" s="1660"/>
      <c r="D4" s="1660"/>
      <c r="E4" s="1660"/>
      <c r="F4" s="1660"/>
      <c r="G4" s="1661"/>
      <c r="H4" s="835"/>
      <c r="I4" s="350"/>
      <c r="J4" s="1662"/>
      <c r="K4" s="351"/>
      <c r="L4" s="351"/>
      <c r="M4" s="351"/>
      <c r="N4" s="351"/>
      <c r="O4" s="351"/>
      <c r="P4" s="346"/>
      <c r="Q4" s="346"/>
      <c r="R4" s="346"/>
      <c r="S4" s="347"/>
    </row>
    <row r="5" spans="1:19" s="341" customFormat="1" ht="21.75" customHeight="1" x14ac:dyDescent="0.25">
      <c r="B5" s="1663" t="str">
        <f>'[11]VENC. '!$B$4</f>
        <v xml:space="preserve"> AL 31 DE MARZO DE 2023</v>
      </c>
      <c r="C5" s="1664"/>
      <c r="D5" s="1664"/>
      <c r="E5" s="1664"/>
      <c r="F5" s="1664"/>
      <c r="G5" s="1665"/>
      <c r="H5" s="835"/>
      <c r="I5" s="350"/>
      <c r="J5" s="1662"/>
      <c r="K5" s="353"/>
      <c r="L5" s="353"/>
      <c r="M5" s="345"/>
      <c r="N5" s="345"/>
      <c r="O5" s="354"/>
      <c r="P5" s="346"/>
      <c r="Q5" s="346"/>
      <c r="R5" s="346"/>
      <c r="S5" s="346"/>
    </row>
    <row r="6" spans="1:19" ht="21" customHeight="1" x14ac:dyDescent="0.35">
      <c r="B6" s="1649" t="s">
        <v>362</v>
      </c>
      <c r="C6" s="1659" t="s">
        <v>363</v>
      </c>
      <c r="D6" s="1661"/>
      <c r="E6" s="1649" t="s">
        <v>364</v>
      </c>
      <c r="F6" s="1649" t="s">
        <v>365</v>
      </c>
      <c r="G6" s="1649" t="s">
        <v>366</v>
      </c>
      <c r="H6" s="1696" t="s">
        <v>367</v>
      </c>
      <c r="J6" s="1640"/>
      <c r="K6" s="1640"/>
      <c r="L6" s="1640"/>
      <c r="M6" s="1640"/>
      <c r="N6" s="1640"/>
      <c r="O6" s="1640"/>
    </row>
    <row r="7" spans="1:19" ht="11.5" customHeight="1" x14ac:dyDescent="0.35">
      <c r="B7" s="1649"/>
      <c r="C7" s="1659"/>
      <c r="D7" s="1661"/>
      <c r="E7" s="1649"/>
      <c r="F7" s="1649"/>
      <c r="G7" s="1649"/>
      <c r="H7" s="1697"/>
      <c r="J7" s="1640"/>
      <c r="K7" s="1640"/>
      <c r="L7" s="1640"/>
      <c r="M7" s="1640"/>
      <c r="N7" s="1640"/>
      <c r="O7" s="1640"/>
    </row>
    <row r="8" spans="1:19" x14ac:dyDescent="0.35">
      <c r="B8" s="1650"/>
      <c r="C8" s="960" t="s">
        <v>368</v>
      </c>
      <c r="D8" s="961" t="s">
        <v>369</v>
      </c>
      <c r="E8" s="1650"/>
      <c r="F8" s="364" t="s">
        <v>370</v>
      </c>
      <c r="G8" s="1650"/>
      <c r="H8" s="1698"/>
      <c r="I8" s="353"/>
      <c r="J8" s="354">
        <f>'[11]VENC. '!$G$6</f>
        <v>5521781425.4200001</v>
      </c>
      <c r="K8" s="338"/>
      <c r="L8" s="338"/>
      <c r="M8" s="338"/>
      <c r="N8" s="338"/>
      <c r="O8" s="338"/>
      <c r="P8" s="340"/>
    </row>
    <row r="9" spans="1:19" s="370" customFormat="1" ht="21" customHeight="1" x14ac:dyDescent="0.25">
      <c r="B9" s="548"/>
      <c r="C9" s="372"/>
      <c r="D9" s="372"/>
      <c r="E9" s="372"/>
      <c r="F9" s="373"/>
      <c r="G9" s="342"/>
      <c r="H9" s="838"/>
      <c r="I9" s="353"/>
      <c r="J9" s="549"/>
      <c r="K9" s="550"/>
      <c r="L9" s="550"/>
      <c r="M9" s="550"/>
      <c r="N9" s="550"/>
      <c r="O9" s="550"/>
      <c r="P9" s="374"/>
      <c r="Q9" s="374"/>
      <c r="R9" s="374"/>
      <c r="S9" s="374"/>
    </row>
    <row r="10" spans="1:19" s="365" customFormat="1" ht="21" customHeight="1" x14ac:dyDescent="0.25">
      <c r="B10" s="1641" t="s">
        <v>428</v>
      </c>
      <c r="C10" s="1642"/>
      <c r="D10" s="1642"/>
      <c r="E10" s="1642"/>
      <c r="F10" s="366">
        <f>SUM(F11+F31)</f>
        <v>1075189160.99</v>
      </c>
      <c r="G10" s="367"/>
      <c r="H10" s="839"/>
      <c r="O10" s="353"/>
      <c r="P10" s="353"/>
      <c r="Q10" s="353"/>
      <c r="R10" s="353"/>
      <c r="S10" s="353"/>
    </row>
    <row r="11" spans="1:19" s="365" customFormat="1" ht="31" customHeight="1" x14ac:dyDescent="0.25">
      <c r="B11" s="551" t="s">
        <v>372</v>
      </c>
      <c r="C11" s="453"/>
      <c r="D11" s="344"/>
      <c r="E11" s="344"/>
      <c r="F11" s="373">
        <f>SUM(F12:F30)</f>
        <v>687991623.45000005</v>
      </c>
      <c r="G11" s="367"/>
      <c r="H11" s="962"/>
      <c r="I11" s="552"/>
      <c r="O11" s="353"/>
      <c r="P11" s="353"/>
      <c r="Q11" s="353"/>
      <c r="R11" s="353"/>
      <c r="S11" s="353"/>
    </row>
    <row r="12" spans="1:19" s="365" customFormat="1" ht="20.149999999999999" customHeight="1" x14ac:dyDescent="0.25">
      <c r="B12" s="636">
        <v>150000139040</v>
      </c>
      <c r="C12" s="628" t="s">
        <v>673</v>
      </c>
      <c r="D12" s="628">
        <v>45019</v>
      </c>
      <c r="E12" s="628" t="s">
        <v>674</v>
      </c>
      <c r="F12" s="1254">
        <v>61035438.93</v>
      </c>
      <c r="G12" s="1255">
        <v>3</v>
      </c>
      <c r="H12" s="979" t="s">
        <v>429</v>
      </c>
      <c r="I12" s="552"/>
      <c r="K12" s="365">
        <f>F12*G12/100</f>
        <v>1831063</v>
      </c>
      <c r="O12" s="353"/>
      <c r="P12" s="353"/>
      <c r="Q12" s="353"/>
      <c r="R12" s="353"/>
      <c r="S12" s="353"/>
    </row>
    <row r="13" spans="1:19" s="365" customFormat="1" ht="20.149999999999999" customHeight="1" x14ac:dyDescent="0.25">
      <c r="B13" s="636">
        <v>150000139050</v>
      </c>
      <c r="C13" s="628" t="s">
        <v>673</v>
      </c>
      <c r="D13" s="628">
        <v>45019</v>
      </c>
      <c r="E13" s="628" t="s">
        <v>674</v>
      </c>
      <c r="F13" s="1254">
        <v>29211561.07</v>
      </c>
      <c r="G13" s="1255">
        <v>3</v>
      </c>
      <c r="H13" s="979"/>
      <c r="I13" s="552"/>
      <c r="K13" s="365">
        <f t="shared" ref="K13:K47" si="0">F13*G13/100</f>
        <v>876347</v>
      </c>
      <c r="O13" s="353"/>
      <c r="P13" s="353"/>
      <c r="Q13" s="353"/>
      <c r="R13" s="353"/>
      <c r="S13" s="353"/>
    </row>
    <row r="14" spans="1:19" s="365" customFormat="1" ht="20.149999999999999" customHeight="1" x14ac:dyDescent="0.25">
      <c r="B14" s="806">
        <v>110000085275</v>
      </c>
      <c r="C14" s="880" t="s">
        <v>675</v>
      </c>
      <c r="D14" s="880" t="s">
        <v>676</v>
      </c>
      <c r="E14" s="880" t="s">
        <v>438</v>
      </c>
      <c r="F14" s="881">
        <v>27200000</v>
      </c>
      <c r="G14" s="1237">
        <v>3.82</v>
      </c>
      <c r="H14" s="979"/>
      <c r="I14" s="552"/>
      <c r="K14" s="365">
        <f t="shared" si="0"/>
        <v>1039040</v>
      </c>
      <c r="O14" s="353"/>
      <c r="P14" s="353"/>
      <c r="Q14" s="353"/>
      <c r="R14" s="353"/>
      <c r="S14" s="353"/>
    </row>
    <row r="15" spans="1:19" s="365" customFormat="1" ht="20.149999999999999" customHeight="1" x14ac:dyDescent="0.25">
      <c r="B15" s="806">
        <v>110000083172</v>
      </c>
      <c r="C15" s="880">
        <v>44831</v>
      </c>
      <c r="D15" s="880">
        <v>45103</v>
      </c>
      <c r="E15" s="880" t="s">
        <v>577</v>
      </c>
      <c r="F15" s="881">
        <v>25222.92</v>
      </c>
      <c r="G15" s="1237">
        <v>2.65</v>
      </c>
      <c r="H15" s="979"/>
      <c r="I15" s="552"/>
      <c r="K15" s="365">
        <f t="shared" si="0"/>
        <v>668</v>
      </c>
      <c r="O15" s="353"/>
      <c r="P15" s="353"/>
      <c r="Q15" s="353"/>
      <c r="R15" s="353"/>
      <c r="S15" s="353"/>
    </row>
    <row r="16" spans="1:19" s="365" customFormat="1" ht="20.149999999999999" customHeight="1" x14ac:dyDescent="0.25">
      <c r="B16" s="1213">
        <v>110000083181</v>
      </c>
      <c r="C16" s="880">
        <v>44831</v>
      </c>
      <c r="D16" s="879">
        <v>45103</v>
      </c>
      <c r="E16" s="880" t="s">
        <v>577</v>
      </c>
      <c r="F16" s="881">
        <v>12500000</v>
      </c>
      <c r="G16" s="808">
        <v>2.65</v>
      </c>
      <c r="H16" s="979" t="s">
        <v>429</v>
      </c>
      <c r="I16" s="552"/>
      <c r="K16" s="365">
        <f t="shared" si="0"/>
        <v>331250</v>
      </c>
      <c r="O16" s="353"/>
      <c r="P16" s="353"/>
      <c r="Q16" s="353"/>
      <c r="R16" s="353"/>
      <c r="S16" s="353"/>
    </row>
    <row r="17" spans="2:19" s="365" customFormat="1" ht="20.149999999999999" customHeight="1" x14ac:dyDescent="0.25">
      <c r="B17" s="1045">
        <v>110000083190</v>
      </c>
      <c r="C17" s="880">
        <v>44831</v>
      </c>
      <c r="D17" s="879">
        <v>45103</v>
      </c>
      <c r="E17" s="880" t="s">
        <v>577</v>
      </c>
      <c r="F17" s="1256">
        <v>11387255.130000001</v>
      </c>
      <c r="G17" s="649">
        <v>2.65</v>
      </c>
      <c r="H17" s="979" t="s">
        <v>429</v>
      </c>
      <c r="I17" s="552"/>
      <c r="K17" s="365">
        <f t="shared" si="0"/>
        <v>301762</v>
      </c>
      <c r="O17" s="353"/>
      <c r="P17" s="353"/>
      <c r="Q17" s="353"/>
      <c r="R17" s="353"/>
      <c r="S17" s="353"/>
    </row>
    <row r="18" spans="2:19" s="365" customFormat="1" ht="20.149999999999999" customHeight="1" x14ac:dyDescent="0.25">
      <c r="B18" s="1045">
        <v>110000083207</v>
      </c>
      <c r="C18" s="880">
        <v>44831</v>
      </c>
      <c r="D18" s="879">
        <v>45103</v>
      </c>
      <c r="E18" s="880" t="s">
        <v>577</v>
      </c>
      <c r="F18" s="873">
        <v>500000000</v>
      </c>
      <c r="G18" s="649">
        <v>2.65</v>
      </c>
      <c r="H18" s="979" t="s">
        <v>429</v>
      </c>
      <c r="I18" s="552"/>
      <c r="K18" s="365">
        <f t="shared" si="0"/>
        <v>13250000</v>
      </c>
      <c r="O18" s="353"/>
      <c r="P18" s="353"/>
      <c r="Q18" s="353"/>
      <c r="R18" s="353"/>
      <c r="S18" s="353"/>
    </row>
    <row r="19" spans="2:19" s="365" customFormat="1" ht="20.149999999999999" customHeight="1" x14ac:dyDescent="0.25">
      <c r="B19" s="806">
        <v>110000084901</v>
      </c>
      <c r="C19" s="880">
        <v>44896</v>
      </c>
      <c r="D19" s="879">
        <v>45350</v>
      </c>
      <c r="E19" s="880" t="s">
        <v>556</v>
      </c>
      <c r="F19" s="881">
        <v>2342285.42</v>
      </c>
      <c r="G19" s="1237">
        <v>2.25</v>
      </c>
      <c r="H19" s="979"/>
      <c r="I19" s="552"/>
      <c r="K19" s="365">
        <f t="shared" si="0"/>
        <v>52701</v>
      </c>
      <c r="O19" s="353"/>
      <c r="P19" s="353"/>
      <c r="Q19" s="353"/>
      <c r="R19" s="353"/>
      <c r="S19" s="353"/>
    </row>
    <row r="20" spans="2:19" s="365" customFormat="1" ht="20.149999999999999" customHeight="1" x14ac:dyDescent="0.25">
      <c r="B20" s="806">
        <v>110000084035</v>
      </c>
      <c r="C20" s="880">
        <v>44909</v>
      </c>
      <c r="D20" s="879">
        <v>45350</v>
      </c>
      <c r="E20" s="880" t="s">
        <v>556</v>
      </c>
      <c r="F20" s="881">
        <v>9929438.0399999991</v>
      </c>
      <c r="G20" s="1237">
        <v>2.25</v>
      </c>
      <c r="H20" s="979"/>
      <c r="I20" s="552"/>
      <c r="K20" s="365">
        <f t="shared" si="0"/>
        <v>223412</v>
      </c>
      <c r="O20" s="353"/>
      <c r="P20" s="353"/>
      <c r="Q20" s="353"/>
      <c r="R20" s="353"/>
      <c r="S20" s="353"/>
    </row>
    <row r="21" spans="2:19" s="365" customFormat="1" ht="20.149999999999999" customHeight="1" x14ac:dyDescent="0.25">
      <c r="B21" s="806">
        <v>110000084231</v>
      </c>
      <c r="C21" s="880">
        <v>44925</v>
      </c>
      <c r="D21" s="879">
        <v>45350</v>
      </c>
      <c r="E21" s="880" t="s">
        <v>556</v>
      </c>
      <c r="F21" s="881">
        <v>8107927.7000000002</v>
      </c>
      <c r="G21" s="1237">
        <v>2.25</v>
      </c>
      <c r="H21" s="979"/>
      <c r="I21" s="552"/>
      <c r="K21" s="365">
        <f t="shared" si="0"/>
        <v>182428</v>
      </c>
      <c r="O21" s="353"/>
      <c r="P21" s="353"/>
      <c r="Q21" s="353"/>
      <c r="R21" s="353"/>
      <c r="S21" s="353"/>
    </row>
    <row r="22" spans="2:19" s="365" customFormat="1" ht="20.149999999999999" customHeight="1" x14ac:dyDescent="0.25">
      <c r="B22" s="1213">
        <v>110000084760</v>
      </c>
      <c r="C22" s="879">
        <v>44971</v>
      </c>
      <c r="D22" s="879">
        <v>45350</v>
      </c>
      <c r="E22" s="880" t="s">
        <v>677</v>
      </c>
      <c r="F22" s="881">
        <v>4598775.12</v>
      </c>
      <c r="G22" s="808">
        <v>2.25</v>
      </c>
      <c r="H22" s="979"/>
      <c r="I22" s="552"/>
      <c r="K22" s="365">
        <f t="shared" si="0"/>
        <v>103472</v>
      </c>
      <c r="O22" s="353"/>
      <c r="P22" s="353"/>
      <c r="Q22" s="353"/>
      <c r="R22" s="353"/>
      <c r="S22" s="353"/>
    </row>
    <row r="23" spans="2:19" s="365" customFormat="1" ht="20.149999999999999" customHeight="1" x14ac:dyDescent="0.25">
      <c r="B23" s="1213">
        <v>110000084840</v>
      </c>
      <c r="C23" s="879">
        <v>44985</v>
      </c>
      <c r="D23" s="879">
        <v>45350</v>
      </c>
      <c r="E23" s="880" t="s">
        <v>650</v>
      </c>
      <c r="F23" s="881">
        <v>2216102.6800000002</v>
      </c>
      <c r="G23" s="808">
        <v>2.25</v>
      </c>
      <c r="H23" s="979"/>
      <c r="I23" s="552"/>
      <c r="K23" s="365">
        <f t="shared" si="0"/>
        <v>49862</v>
      </c>
      <c r="O23" s="353"/>
      <c r="P23" s="353"/>
      <c r="Q23" s="353"/>
      <c r="R23" s="353"/>
      <c r="S23" s="353"/>
    </row>
    <row r="24" spans="2:19" s="365" customFormat="1" ht="20.149999999999999" customHeight="1" x14ac:dyDescent="0.25">
      <c r="B24" s="1213">
        <v>110000083913</v>
      </c>
      <c r="C24" s="879">
        <v>44895</v>
      </c>
      <c r="D24" s="879">
        <v>45350</v>
      </c>
      <c r="E24" s="880" t="s">
        <v>470</v>
      </c>
      <c r="F24" s="881">
        <v>2226995.5499999998</v>
      </c>
      <c r="G24" s="808">
        <v>2.25</v>
      </c>
      <c r="H24" s="979"/>
      <c r="I24" s="552"/>
      <c r="K24" s="365">
        <f t="shared" si="0"/>
        <v>50107</v>
      </c>
      <c r="O24" s="353"/>
      <c r="P24" s="353"/>
      <c r="Q24" s="353"/>
      <c r="R24" s="353"/>
      <c r="S24" s="353"/>
    </row>
    <row r="25" spans="2:19" s="365" customFormat="1" ht="20.149999999999999" customHeight="1" x14ac:dyDescent="0.25">
      <c r="B25" s="1045">
        <v>110000084320</v>
      </c>
      <c r="C25" s="880">
        <v>44937</v>
      </c>
      <c r="D25" s="879">
        <v>45350</v>
      </c>
      <c r="E25" s="880" t="s">
        <v>470</v>
      </c>
      <c r="F25" s="873">
        <v>787989.45</v>
      </c>
      <c r="G25" s="649">
        <v>2.25</v>
      </c>
      <c r="H25" s="979"/>
      <c r="I25" s="552"/>
      <c r="K25" s="365">
        <f t="shared" si="0"/>
        <v>17730</v>
      </c>
      <c r="O25" s="353"/>
      <c r="P25" s="353"/>
      <c r="Q25" s="353"/>
      <c r="R25" s="353"/>
      <c r="S25" s="353"/>
    </row>
    <row r="26" spans="2:19" s="365" customFormat="1" ht="20.149999999999999" customHeight="1" x14ac:dyDescent="0.25">
      <c r="B26" s="1045">
        <v>110000084330</v>
      </c>
      <c r="C26" s="880">
        <v>44939</v>
      </c>
      <c r="D26" s="879">
        <v>45350</v>
      </c>
      <c r="E26" s="880" t="s">
        <v>556</v>
      </c>
      <c r="F26" s="873">
        <v>2474075.2200000002</v>
      </c>
      <c r="G26" s="649">
        <v>2.25</v>
      </c>
      <c r="H26" s="979"/>
      <c r="I26" s="552"/>
      <c r="K26" s="365">
        <f t="shared" si="0"/>
        <v>55667</v>
      </c>
      <c r="O26" s="353"/>
      <c r="P26" s="353"/>
      <c r="Q26" s="353"/>
      <c r="R26" s="353"/>
      <c r="S26" s="353"/>
    </row>
    <row r="27" spans="2:19" s="365" customFormat="1" ht="20.149999999999999" customHeight="1" x14ac:dyDescent="0.25">
      <c r="B27" s="1045">
        <v>110000084483</v>
      </c>
      <c r="C27" s="880">
        <v>44950</v>
      </c>
      <c r="D27" s="879">
        <v>45350</v>
      </c>
      <c r="E27" s="880" t="s">
        <v>556</v>
      </c>
      <c r="F27" s="873">
        <v>1120642.46</v>
      </c>
      <c r="G27" s="649">
        <v>2.25</v>
      </c>
      <c r="H27" s="979"/>
      <c r="I27" s="552"/>
      <c r="K27" s="365">
        <f t="shared" si="0"/>
        <v>25214</v>
      </c>
      <c r="O27" s="353"/>
      <c r="P27" s="353"/>
      <c r="Q27" s="353"/>
      <c r="R27" s="353"/>
      <c r="S27" s="353"/>
    </row>
    <row r="28" spans="2:19" s="365" customFormat="1" ht="20.149999999999999" customHeight="1" x14ac:dyDescent="0.25">
      <c r="B28" s="1045">
        <v>110000085186</v>
      </c>
      <c r="C28" s="880" t="s">
        <v>653</v>
      </c>
      <c r="D28" s="879">
        <v>45350</v>
      </c>
      <c r="E28" s="880" t="s">
        <v>556</v>
      </c>
      <c r="F28" s="873">
        <v>9107119.3699999992</v>
      </c>
      <c r="G28" s="649">
        <v>2.25</v>
      </c>
      <c r="H28" s="979"/>
      <c r="I28" s="552"/>
      <c r="K28" s="365">
        <f t="shared" si="0"/>
        <v>204910</v>
      </c>
      <c r="O28" s="353"/>
      <c r="P28" s="353"/>
      <c r="Q28" s="353"/>
      <c r="R28" s="353"/>
      <c r="S28" s="353"/>
    </row>
    <row r="29" spans="2:19" s="365" customFormat="1" ht="20.149999999999999" customHeight="1" x14ac:dyDescent="0.25">
      <c r="B29" s="1045">
        <v>110000084311</v>
      </c>
      <c r="C29" s="880">
        <v>44931</v>
      </c>
      <c r="D29" s="879">
        <v>45350</v>
      </c>
      <c r="E29" s="880" t="s">
        <v>556</v>
      </c>
      <c r="F29" s="873">
        <v>3286186.49</v>
      </c>
      <c r="G29" s="649">
        <v>2.25</v>
      </c>
      <c r="H29" s="979"/>
      <c r="I29" s="552"/>
      <c r="K29" s="365">
        <f t="shared" si="0"/>
        <v>73939</v>
      </c>
      <c r="O29" s="353"/>
      <c r="P29" s="353"/>
      <c r="Q29" s="353"/>
      <c r="R29" s="353"/>
      <c r="S29" s="353"/>
    </row>
    <row r="30" spans="2:19" s="365" customFormat="1" ht="20.149999999999999" customHeight="1" x14ac:dyDescent="0.25">
      <c r="B30" s="1219">
        <v>110000084008</v>
      </c>
      <c r="C30" s="1221">
        <v>44902</v>
      </c>
      <c r="D30" s="1220">
        <v>46000</v>
      </c>
      <c r="E30" s="1221" t="s">
        <v>477</v>
      </c>
      <c r="F30" s="1222">
        <v>434607.9</v>
      </c>
      <c r="G30" s="1223">
        <v>4.95</v>
      </c>
      <c r="H30" s="979" t="s">
        <v>375</v>
      </c>
      <c r="I30" s="552" t="s">
        <v>678</v>
      </c>
      <c r="K30" s="365">
        <f t="shared" si="0"/>
        <v>21513</v>
      </c>
      <c r="O30" s="353"/>
      <c r="P30" s="353"/>
      <c r="Q30" s="353"/>
      <c r="R30" s="353"/>
      <c r="S30" s="353"/>
    </row>
    <row r="31" spans="2:19" s="365" customFormat="1" ht="34.5" customHeight="1" x14ac:dyDescent="0.25">
      <c r="B31" s="1232" t="s">
        <v>401</v>
      </c>
      <c r="C31" s="1233"/>
      <c r="D31" s="1233"/>
      <c r="E31" s="1233"/>
      <c r="F31" s="1234">
        <f>SUM(F32:F47)</f>
        <v>387197537.54000002</v>
      </c>
      <c r="G31" s="1235"/>
      <c r="H31" s="985"/>
      <c r="I31" s="552"/>
      <c r="K31" s="1257">
        <f>SUM(K12:K30)</f>
        <v>18691085</v>
      </c>
      <c r="L31" s="1258">
        <f>K31/F11</f>
        <v>2.7199999999999998E-2</v>
      </c>
      <c r="O31" s="353"/>
      <c r="P31" s="353"/>
      <c r="Q31" s="353"/>
      <c r="R31" s="353"/>
      <c r="S31" s="353"/>
    </row>
    <row r="32" spans="2:19" s="883" customFormat="1" ht="26.25" hidden="1" customHeight="1" x14ac:dyDescent="0.25">
      <c r="B32" s="806"/>
      <c r="C32" s="879"/>
      <c r="D32" s="879"/>
      <c r="E32" s="880"/>
      <c r="F32" s="881"/>
      <c r="G32" s="808"/>
      <c r="H32" s="1259"/>
      <c r="I32" s="1049"/>
      <c r="J32" s="1215"/>
      <c r="K32" s="365">
        <f t="shared" si="0"/>
        <v>0</v>
      </c>
      <c r="O32" s="1218"/>
      <c r="P32" s="1218"/>
      <c r="Q32" s="1218"/>
      <c r="R32" s="1218"/>
      <c r="S32" s="1218"/>
    </row>
    <row r="33" spans="2:19" s="883" customFormat="1" ht="21.65" customHeight="1" x14ac:dyDescent="0.25">
      <c r="B33" s="806" t="s">
        <v>654</v>
      </c>
      <c r="C33" s="879" t="s">
        <v>655</v>
      </c>
      <c r="D33" s="879">
        <v>45022</v>
      </c>
      <c r="E33" s="880" t="s">
        <v>469</v>
      </c>
      <c r="F33" s="881">
        <v>66000000</v>
      </c>
      <c r="G33" s="808">
        <v>3.85</v>
      </c>
      <c r="H33" s="1259"/>
      <c r="I33" s="1049"/>
      <c r="J33" s="1215"/>
      <c r="K33" s="365">
        <f t="shared" si="0"/>
        <v>2541000</v>
      </c>
      <c r="O33" s="1218"/>
      <c r="P33" s="1218"/>
      <c r="Q33" s="1218"/>
      <c r="R33" s="1218"/>
      <c r="S33" s="1218"/>
    </row>
    <row r="34" spans="2:19" s="883" customFormat="1" ht="21.65" customHeight="1" x14ac:dyDescent="0.25">
      <c r="B34" s="806" t="s">
        <v>679</v>
      </c>
      <c r="C34" s="879" t="s">
        <v>675</v>
      </c>
      <c r="D34" s="879" t="s">
        <v>680</v>
      </c>
      <c r="E34" s="880" t="s">
        <v>681</v>
      </c>
      <c r="F34" s="881">
        <v>75000000</v>
      </c>
      <c r="G34" s="808">
        <v>3.9550000000000001</v>
      </c>
      <c r="H34" s="1259"/>
      <c r="I34" s="1049"/>
      <c r="J34" s="1215"/>
      <c r="K34" s="365">
        <f t="shared" si="0"/>
        <v>2966250</v>
      </c>
      <c r="O34" s="1218"/>
      <c r="P34" s="1218"/>
      <c r="Q34" s="1218"/>
      <c r="R34" s="1218"/>
      <c r="S34" s="1218"/>
    </row>
    <row r="35" spans="2:19" s="883" customFormat="1" ht="21.65" customHeight="1" x14ac:dyDescent="0.25">
      <c r="B35" s="806" t="s">
        <v>682</v>
      </c>
      <c r="C35" s="879" t="s">
        <v>675</v>
      </c>
      <c r="D35" s="879" t="s">
        <v>683</v>
      </c>
      <c r="E35" s="880" t="s">
        <v>374</v>
      </c>
      <c r="F35" s="881">
        <v>100000000</v>
      </c>
      <c r="G35" s="808">
        <v>4.0625</v>
      </c>
      <c r="H35" s="1259"/>
      <c r="I35" s="1049"/>
      <c r="J35" s="1215"/>
      <c r="K35" s="365">
        <f t="shared" si="0"/>
        <v>4062500</v>
      </c>
      <c r="O35" s="1218"/>
      <c r="P35" s="1218"/>
      <c r="Q35" s="1218"/>
      <c r="R35" s="1218"/>
      <c r="S35" s="1218"/>
    </row>
    <row r="36" spans="2:19" s="883" customFormat="1" ht="21.65" customHeight="1" x14ac:dyDescent="0.25">
      <c r="B36" s="806" t="s">
        <v>684</v>
      </c>
      <c r="C36" s="879" t="s">
        <v>675</v>
      </c>
      <c r="D36" s="879" t="s">
        <v>685</v>
      </c>
      <c r="E36" s="880" t="s">
        <v>686</v>
      </c>
      <c r="F36" s="881">
        <v>100000000</v>
      </c>
      <c r="G36" s="808">
        <v>4.125</v>
      </c>
      <c r="H36" s="1259"/>
      <c r="I36" s="1049"/>
      <c r="J36" s="1215"/>
      <c r="K36" s="365">
        <f t="shared" si="0"/>
        <v>4125000</v>
      </c>
      <c r="O36" s="1218"/>
      <c r="P36" s="1218"/>
      <c r="Q36" s="1218"/>
      <c r="R36" s="1218"/>
      <c r="S36" s="1218"/>
    </row>
    <row r="37" spans="2:19" s="883" customFormat="1" ht="21.65" customHeight="1" x14ac:dyDescent="0.25">
      <c r="B37" s="806" t="s">
        <v>658</v>
      </c>
      <c r="C37" s="879">
        <v>44895</v>
      </c>
      <c r="D37" s="879" t="s">
        <v>667</v>
      </c>
      <c r="E37" s="880" t="s">
        <v>470</v>
      </c>
      <c r="F37" s="881">
        <v>2226995.5499999998</v>
      </c>
      <c r="G37" s="1214">
        <v>2.25</v>
      </c>
      <c r="H37" s="972" t="s">
        <v>375</v>
      </c>
      <c r="I37" s="973" t="s">
        <v>687</v>
      </c>
      <c r="J37" s="1215"/>
      <c r="K37" s="365">
        <f t="shared" si="0"/>
        <v>50107</v>
      </c>
      <c r="O37" s="1218"/>
      <c r="P37" s="1218"/>
      <c r="Q37" s="1218"/>
      <c r="R37" s="1218"/>
      <c r="S37" s="1218"/>
    </row>
    <row r="38" spans="2:19" s="883" customFormat="1" ht="21.65" customHeight="1" x14ac:dyDescent="0.25">
      <c r="B38" s="806" t="s">
        <v>659</v>
      </c>
      <c r="C38" s="879">
        <v>44604</v>
      </c>
      <c r="D38" s="879">
        <v>45350</v>
      </c>
      <c r="E38" s="880" t="s">
        <v>470</v>
      </c>
      <c r="F38" s="881">
        <v>2342285.4300000002</v>
      </c>
      <c r="G38" s="1214">
        <v>2.25</v>
      </c>
      <c r="H38" s="972"/>
      <c r="I38" s="973"/>
      <c r="J38" s="1215"/>
      <c r="K38" s="365">
        <f t="shared" si="0"/>
        <v>52701</v>
      </c>
      <c r="O38" s="1218"/>
      <c r="P38" s="1218"/>
      <c r="Q38" s="1218"/>
      <c r="R38" s="1218"/>
      <c r="S38" s="1218"/>
    </row>
    <row r="39" spans="2:19" s="883" customFormat="1" ht="21.65" customHeight="1" x14ac:dyDescent="0.25">
      <c r="B39" s="806" t="s">
        <v>656</v>
      </c>
      <c r="C39" s="879">
        <v>44909</v>
      </c>
      <c r="D39" s="879" t="s">
        <v>667</v>
      </c>
      <c r="E39" s="880" t="s">
        <v>649</v>
      </c>
      <c r="F39" s="881">
        <v>9929438.0500000007</v>
      </c>
      <c r="G39" s="1214">
        <v>2.25</v>
      </c>
      <c r="H39" s="972" t="s">
        <v>375</v>
      </c>
      <c r="I39" s="973" t="s">
        <v>687</v>
      </c>
      <c r="J39" s="1215"/>
      <c r="K39" s="365">
        <f t="shared" si="0"/>
        <v>223412</v>
      </c>
      <c r="O39" s="1218"/>
      <c r="P39" s="1218"/>
      <c r="Q39" s="1218"/>
      <c r="R39" s="1218"/>
      <c r="S39" s="1218"/>
    </row>
    <row r="40" spans="2:19" s="883" customFormat="1" ht="21.65" customHeight="1" x14ac:dyDescent="0.25">
      <c r="B40" s="806" t="s">
        <v>666</v>
      </c>
      <c r="C40" s="879">
        <v>44925</v>
      </c>
      <c r="D40" s="879" t="s">
        <v>667</v>
      </c>
      <c r="E40" s="880" t="s">
        <v>668</v>
      </c>
      <c r="F40" s="881">
        <v>8107927.71</v>
      </c>
      <c r="G40" s="1214">
        <v>2.25</v>
      </c>
      <c r="H40" s="1260"/>
      <c r="I40" s="973"/>
      <c r="J40" s="1215"/>
      <c r="K40" s="365">
        <f t="shared" si="0"/>
        <v>182428</v>
      </c>
      <c r="O40" s="1218"/>
      <c r="P40" s="1218"/>
      <c r="Q40" s="1218"/>
      <c r="R40" s="1218"/>
      <c r="S40" s="1218"/>
    </row>
    <row r="41" spans="2:19" s="883" customFormat="1" ht="21.65" customHeight="1" x14ac:dyDescent="0.25">
      <c r="B41" s="806" t="s">
        <v>662</v>
      </c>
      <c r="C41" s="879">
        <v>44937</v>
      </c>
      <c r="D41" s="879">
        <v>45350</v>
      </c>
      <c r="E41" s="880" t="s">
        <v>556</v>
      </c>
      <c r="F41" s="881">
        <v>787989.45</v>
      </c>
      <c r="G41" s="1214">
        <v>2.25</v>
      </c>
      <c r="H41" s="1260"/>
      <c r="I41" s="973"/>
      <c r="J41" s="1215"/>
      <c r="K41" s="365">
        <f t="shared" si="0"/>
        <v>17730</v>
      </c>
      <c r="O41" s="1218"/>
      <c r="P41" s="1218"/>
      <c r="Q41" s="1218"/>
      <c r="R41" s="1218"/>
      <c r="S41" s="1218"/>
    </row>
    <row r="42" spans="2:19" s="883" customFormat="1" ht="21.65" customHeight="1" x14ac:dyDescent="0.25">
      <c r="B42" s="806" t="s">
        <v>663</v>
      </c>
      <c r="C42" s="879">
        <v>44939</v>
      </c>
      <c r="D42" s="879">
        <v>45350</v>
      </c>
      <c r="E42" s="880" t="s">
        <v>556</v>
      </c>
      <c r="F42" s="881">
        <v>2474075.2200000002</v>
      </c>
      <c r="G42" s="1214">
        <v>2.25</v>
      </c>
      <c r="H42" s="1260"/>
      <c r="I42" s="973"/>
      <c r="J42" s="1215"/>
      <c r="K42" s="365">
        <f t="shared" si="0"/>
        <v>55667</v>
      </c>
      <c r="O42" s="1218"/>
      <c r="P42" s="1218"/>
      <c r="Q42" s="1218"/>
      <c r="R42" s="1218"/>
      <c r="S42" s="1218"/>
    </row>
    <row r="43" spans="2:19" s="883" customFormat="1" ht="21.65" customHeight="1" x14ac:dyDescent="0.25">
      <c r="B43" s="806" t="s">
        <v>664</v>
      </c>
      <c r="C43" s="879">
        <v>44950</v>
      </c>
      <c r="D43" s="879">
        <v>45350</v>
      </c>
      <c r="E43" s="880" t="s">
        <v>556</v>
      </c>
      <c r="F43" s="881">
        <v>1120642.46</v>
      </c>
      <c r="G43" s="1214">
        <v>2.25</v>
      </c>
      <c r="H43" s="1260"/>
      <c r="I43" s="973"/>
      <c r="J43" s="1215"/>
      <c r="K43" s="365">
        <f t="shared" si="0"/>
        <v>25214</v>
      </c>
      <c r="O43" s="1218"/>
      <c r="P43" s="1218"/>
      <c r="Q43" s="1218"/>
      <c r="R43" s="1218"/>
      <c r="S43" s="1218"/>
    </row>
    <row r="44" spans="2:19" s="883" customFormat="1" ht="21.65" customHeight="1" x14ac:dyDescent="0.25">
      <c r="B44" s="806" t="s">
        <v>665</v>
      </c>
      <c r="C44" s="879">
        <v>44932</v>
      </c>
      <c r="D44" s="879">
        <v>45350</v>
      </c>
      <c r="E44" s="880" t="s">
        <v>556</v>
      </c>
      <c r="F44" s="881">
        <v>3286186.49</v>
      </c>
      <c r="G44" s="1214">
        <v>2.25</v>
      </c>
      <c r="H44" s="1260"/>
      <c r="I44" s="973"/>
      <c r="J44" s="1215"/>
      <c r="K44" s="365">
        <f t="shared" si="0"/>
        <v>73939</v>
      </c>
      <c r="O44" s="1218"/>
      <c r="P44" s="1218"/>
      <c r="Q44" s="1218"/>
      <c r="R44" s="1218"/>
      <c r="S44" s="1218"/>
    </row>
    <row r="45" spans="2:19" s="883" customFormat="1" ht="21.65" customHeight="1" x14ac:dyDescent="0.25">
      <c r="B45" s="806" t="s">
        <v>660</v>
      </c>
      <c r="C45" s="879">
        <v>44971</v>
      </c>
      <c r="D45" s="879">
        <v>45350</v>
      </c>
      <c r="E45" s="880" t="s">
        <v>650</v>
      </c>
      <c r="F45" s="881">
        <v>4598775.13</v>
      </c>
      <c r="G45" s="1214">
        <v>2.25</v>
      </c>
      <c r="H45" s="1260"/>
      <c r="I45" s="973"/>
      <c r="J45" s="1215"/>
      <c r="K45" s="365">
        <f t="shared" si="0"/>
        <v>103472</v>
      </c>
      <c r="O45" s="1218"/>
      <c r="P45" s="1218"/>
      <c r="Q45" s="1218"/>
      <c r="R45" s="1218"/>
      <c r="S45" s="1218"/>
    </row>
    <row r="46" spans="2:19" s="883" customFormat="1" ht="21.65" customHeight="1" x14ac:dyDescent="0.25">
      <c r="B46" s="806" t="s">
        <v>661</v>
      </c>
      <c r="C46" s="879">
        <v>44985</v>
      </c>
      <c r="D46" s="879">
        <v>45350</v>
      </c>
      <c r="E46" s="880" t="s">
        <v>650</v>
      </c>
      <c r="F46" s="881">
        <v>2216102.6800000002</v>
      </c>
      <c r="G46" s="1214">
        <v>2.25</v>
      </c>
      <c r="H46" s="1260"/>
      <c r="I46" s="973"/>
      <c r="J46" s="1215"/>
      <c r="K46" s="365">
        <f t="shared" si="0"/>
        <v>49862</v>
      </c>
      <c r="O46" s="1218"/>
      <c r="P46" s="1218"/>
      <c r="Q46" s="1218"/>
      <c r="R46" s="1218"/>
      <c r="S46" s="1218"/>
    </row>
    <row r="47" spans="2:19" s="883" customFormat="1" ht="21.65" customHeight="1" x14ac:dyDescent="0.25">
      <c r="B47" s="806" t="s">
        <v>669</v>
      </c>
      <c r="C47" s="879" t="s">
        <v>653</v>
      </c>
      <c r="D47" s="879">
        <v>45350</v>
      </c>
      <c r="E47" s="880" t="s">
        <v>556</v>
      </c>
      <c r="F47" s="881">
        <v>9107119.3699999992</v>
      </c>
      <c r="G47" s="1214">
        <v>2.25</v>
      </c>
      <c r="H47" s="973" t="s">
        <v>688</v>
      </c>
      <c r="K47" s="365">
        <f t="shared" si="0"/>
        <v>204910</v>
      </c>
      <c r="O47" s="1218"/>
      <c r="P47" s="1218"/>
      <c r="Q47" s="1218"/>
      <c r="R47" s="1218"/>
      <c r="S47" s="1218"/>
    </row>
    <row r="48" spans="2:19" s="937" customFormat="1" ht="21" customHeight="1" x14ac:dyDescent="0.3">
      <c r="B48" s="989" t="str">
        <f>[11]SEGUROS!$B$55</f>
        <v xml:space="preserve">FUENTE: DEPTO DE TESORERIA - DNF </v>
      </c>
      <c r="C48" s="990"/>
      <c r="D48" s="990"/>
      <c r="E48" s="990"/>
      <c r="F48" s="990"/>
      <c r="G48" s="991"/>
      <c r="H48" s="943"/>
      <c r="I48" s="943"/>
      <c r="J48" s="943"/>
      <c r="K48" s="937">
        <f>SUM(K33:K47)</f>
        <v>14734192</v>
      </c>
      <c r="L48" s="1261">
        <f>K48/F31</f>
        <v>3.8100000000000002E-2</v>
      </c>
    </row>
    <row r="49" spans="2:19" s="937" customFormat="1" ht="17.25" customHeight="1" x14ac:dyDescent="0.3">
      <c r="B49" s="994" t="str">
        <f>'[11]RESUMEN '!B45:K45</f>
        <v>29/03/2023</v>
      </c>
      <c r="C49" s="995"/>
      <c r="D49" s="995"/>
      <c r="E49" s="995"/>
      <c r="F49" s="995"/>
      <c r="G49" s="996"/>
      <c r="H49" s="891"/>
      <c r="I49" s="891"/>
      <c r="J49" s="891"/>
    </row>
    <row r="50" spans="2:19" s="937" customFormat="1" ht="21" customHeight="1" x14ac:dyDescent="0.3">
      <c r="B50" s="1706" t="s">
        <v>689</v>
      </c>
      <c r="C50" s="1704"/>
      <c r="D50" s="1704" t="str">
        <f>'[11]VENC. '!D$206</f>
        <v>Revisado por:      ___________________________________</v>
      </c>
      <c r="E50" s="1704"/>
      <c r="F50" s="1704"/>
      <c r="G50" s="1705"/>
      <c r="H50" s="891"/>
      <c r="I50" s="891"/>
      <c r="J50" s="891"/>
      <c r="O50" s="944"/>
      <c r="P50" s="944"/>
      <c r="Q50" s="944"/>
      <c r="R50" s="944"/>
      <c r="S50" s="944"/>
    </row>
    <row r="51" spans="2:19" s="937" customFormat="1" ht="12.75" customHeight="1" x14ac:dyDescent="0.3">
      <c r="B51" s="999"/>
      <c r="C51" s="951" t="str">
        <f>'[11]VENC. '!B$207</f>
        <v>Julio C. Pérez</v>
      </c>
      <c r="D51" s="1000"/>
      <c r="E51" s="1704" t="str">
        <f>'[11]VENC. '!D$207</f>
        <v>Lic. Matilde Jordán</v>
      </c>
      <c r="F51" s="1704"/>
      <c r="G51" s="1705"/>
      <c r="H51" s="891"/>
      <c r="I51" s="891"/>
      <c r="J51" s="891"/>
      <c r="O51" s="944"/>
      <c r="P51" s="944"/>
      <c r="Q51" s="944"/>
      <c r="R51" s="944"/>
      <c r="S51" s="944"/>
    </row>
    <row r="52" spans="2:19" s="937" customFormat="1" ht="24" customHeight="1" x14ac:dyDescent="0.3">
      <c r="B52" s="1699" t="str">
        <f>'[11]VENC. '!$B$208</f>
        <v>Analista Financiero</v>
      </c>
      <c r="C52" s="1700"/>
      <c r="D52" s="1700"/>
      <c r="E52" s="1707" t="str">
        <f>'[11]VENC. '!$D$208</f>
        <v>Jefa del Departamento de Tesorería.</v>
      </c>
      <c r="F52" s="1707"/>
      <c r="G52" s="1708"/>
      <c r="H52" s="891"/>
      <c r="I52" s="891"/>
      <c r="J52" s="891"/>
    </row>
    <row r="53" spans="2:19" ht="15.65" hidden="1" customHeight="1" x14ac:dyDescent="0.35">
      <c r="B53" s="893"/>
      <c r="C53" s="894"/>
      <c r="D53" s="894"/>
      <c r="E53" s="894"/>
      <c r="F53" s="894"/>
      <c r="G53" s="895"/>
    </row>
    <row r="56" spans="2:19" x14ac:dyDescent="0.35">
      <c r="B56" s="453" t="s">
        <v>690</v>
      </c>
    </row>
    <row r="57" spans="2:19" x14ac:dyDescent="0.35">
      <c r="B57" s="1045">
        <v>110000082863</v>
      </c>
      <c r="C57" s="872">
        <v>44819</v>
      </c>
      <c r="D57" s="871">
        <v>44909</v>
      </c>
      <c r="E57" s="880" t="s">
        <v>556</v>
      </c>
      <c r="F57" s="873">
        <v>2035117.53</v>
      </c>
      <c r="G57" s="1262">
        <v>2.25</v>
      </c>
    </row>
    <row r="58" spans="2:19" x14ac:dyDescent="0.35">
      <c r="B58" s="592">
        <v>110000083243</v>
      </c>
      <c r="C58" s="1263">
        <v>44834</v>
      </c>
      <c r="D58" s="1264">
        <v>44924</v>
      </c>
      <c r="E58" s="1265" t="s">
        <v>556</v>
      </c>
      <c r="F58" s="1266">
        <v>3630878.53</v>
      </c>
      <c r="G58" s="597">
        <v>2.25</v>
      </c>
    </row>
    <row r="59" spans="2:19" x14ac:dyDescent="0.35">
      <c r="B59" s="644" t="s">
        <v>691</v>
      </c>
      <c r="C59" s="871">
        <v>44820</v>
      </c>
      <c r="D59" s="871">
        <v>44910</v>
      </c>
      <c r="E59" s="872" t="s">
        <v>556</v>
      </c>
      <c r="F59" s="873">
        <v>2035117.54</v>
      </c>
      <c r="G59" s="808">
        <v>2.25</v>
      </c>
    </row>
    <row r="60" spans="2:19" x14ac:dyDescent="0.35">
      <c r="B60" s="1267" t="s">
        <v>560</v>
      </c>
      <c r="C60" s="1264">
        <v>44834</v>
      </c>
      <c r="D60" s="1264">
        <v>44924</v>
      </c>
      <c r="E60" s="1263" t="s">
        <v>556</v>
      </c>
      <c r="F60" s="1266">
        <v>3630878.53</v>
      </c>
      <c r="G60" s="1268">
        <v>2.25</v>
      </c>
    </row>
    <row r="61" spans="2:19" x14ac:dyDescent="0.35">
      <c r="B61" s="806" t="s">
        <v>659</v>
      </c>
      <c r="C61" s="879">
        <v>44897</v>
      </c>
      <c r="D61" s="879">
        <v>44985</v>
      </c>
      <c r="E61" s="880" t="s">
        <v>692</v>
      </c>
      <c r="F61" s="881">
        <v>2927856.79</v>
      </c>
      <c r="G61" s="808">
        <v>2.25</v>
      </c>
      <c r="H61" s="891" t="s">
        <v>693</v>
      </c>
    </row>
    <row r="62" spans="2:19" x14ac:dyDescent="0.35">
      <c r="B62" s="806" t="s">
        <v>672</v>
      </c>
      <c r="C62" s="879">
        <v>44888</v>
      </c>
      <c r="D62" s="879">
        <v>44909</v>
      </c>
      <c r="E62" s="880" t="s">
        <v>469</v>
      </c>
      <c r="F62" s="881">
        <v>20100000</v>
      </c>
      <c r="G62" s="1062">
        <v>2.8</v>
      </c>
    </row>
  </sheetData>
  <mergeCells count="20">
    <mergeCell ref="J6:O7"/>
    <mergeCell ref="B10:E10"/>
    <mergeCell ref="B50:C50"/>
    <mergeCell ref="D50:G50"/>
    <mergeCell ref="E51:G51"/>
    <mergeCell ref="H6:H8"/>
    <mergeCell ref="B52:D52"/>
    <mergeCell ref="E52:G52"/>
    <mergeCell ref="B6:B8"/>
    <mergeCell ref="C6:D7"/>
    <mergeCell ref="E6:E8"/>
    <mergeCell ref="F6:F7"/>
    <mergeCell ref="G6:G8"/>
    <mergeCell ref="K1:O1"/>
    <mergeCell ref="B2:G2"/>
    <mergeCell ref="J2:O2"/>
    <mergeCell ref="B3:G3"/>
    <mergeCell ref="J3:J5"/>
    <mergeCell ref="B4:G4"/>
    <mergeCell ref="B5:G5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S52"/>
  <sheetViews>
    <sheetView topLeftCell="A16" workbookViewId="0">
      <selection activeCell="N39" sqref="N39"/>
    </sheetView>
  </sheetViews>
  <sheetFormatPr baseColWidth="10" defaultColWidth="18" defaultRowHeight="15.5" x14ac:dyDescent="0.35"/>
  <cols>
    <col min="1" max="1" width="7" style="355" customWidth="1"/>
    <col min="2" max="2" width="30.7265625" style="365" customWidth="1"/>
    <col min="3" max="3" width="20.1796875" style="365" customWidth="1"/>
    <col min="4" max="4" width="18.1796875" style="365" customWidth="1"/>
    <col min="5" max="5" width="14.26953125" style="365" customWidth="1"/>
    <col min="6" max="6" width="23" style="365" customWidth="1"/>
    <col min="7" max="7" width="20.1796875" style="345" customWidth="1"/>
    <col min="8" max="8" width="30" style="365" hidden="1" customWidth="1"/>
    <col min="9" max="9" width="17.453125" style="358" hidden="1" customWidth="1"/>
    <col min="10" max="10" width="21.453125" style="358" hidden="1" customWidth="1"/>
    <col min="11" max="14" width="18" style="355"/>
    <col min="15" max="19" width="18" style="359"/>
    <col min="20" max="16384" width="18" style="355"/>
  </cols>
  <sheetData>
    <row r="1" spans="1:19" s="331" customFormat="1" ht="21.75" customHeight="1" x14ac:dyDescent="0.25">
      <c r="B1" s="1269"/>
      <c r="C1" s="1270"/>
      <c r="D1" s="1270"/>
      <c r="E1" s="1270"/>
      <c r="F1" s="1270"/>
      <c r="G1" s="1271" t="s">
        <v>389</v>
      </c>
      <c r="H1" s="345"/>
      <c r="I1" s="337"/>
      <c r="J1" s="338"/>
      <c r="K1" s="1654"/>
      <c r="L1" s="1654"/>
      <c r="M1" s="1654"/>
      <c r="N1" s="1654"/>
      <c r="O1" s="1654"/>
      <c r="P1" s="340"/>
      <c r="Q1" s="340"/>
      <c r="R1" s="340"/>
      <c r="S1" s="340"/>
    </row>
    <row r="2" spans="1:19" s="331" customFormat="1" ht="13.5" customHeight="1" x14ac:dyDescent="0.25">
      <c r="B2" s="1272"/>
      <c r="C2" s="1273"/>
      <c r="D2" s="1273"/>
      <c r="E2" s="1273"/>
      <c r="F2" s="1273"/>
      <c r="G2" s="1274"/>
      <c r="H2" s="345"/>
      <c r="I2" s="337"/>
      <c r="J2" s="338"/>
      <c r="K2" s="339"/>
      <c r="L2" s="339"/>
      <c r="M2" s="339"/>
      <c r="N2" s="339"/>
      <c r="O2" s="339"/>
      <c r="P2" s="340"/>
      <c r="Q2" s="340"/>
      <c r="R2" s="340"/>
      <c r="S2" s="340"/>
    </row>
    <row r="3" spans="1:19" s="341" customFormat="1" ht="21.75" customHeight="1" x14ac:dyDescent="0.25">
      <c r="B3" s="1719" t="s">
        <v>0</v>
      </c>
      <c r="C3" s="1720"/>
      <c r="D3" s="1720"/>
      <c r="E3" s="1720"/>
      <c r="F3" s="1720"/>
      <c r="G3" s="1721"/>
      <c r="H3" s="345"/>
      <c r="I3" s="345"/>
      <c r="J3" s="1658"/>
      <c r="K3" s="1658"/>
      <c r="L3" s="1658"/>
      <c r="M3" s="1658"/>
      <c r="N3" s="1658"/>
      <c r="O3" s="1658"/>
      <c r="P3" s="346"/>
      <c r="Q3" s="346"/>
      <c r="R3" s="346"/>
      <c r="S3" s="346"/>
    </row>
    <row r="4" spans="1:19" s="352" customFormat="1" ht="21.75" customHeight="1" x14ac:dyDescent="0.25">
      <c r="A4" s="347"/>
      <c r="B4" s="1722" t="s">
        <v>390</v>
      </c>
      <c r="C4" s="1723"/>
      <c r="D4" s="1723"/>
      <c r="E4" s="1723"/>
      <c r="F4" s="1723"/>
      <c r="G4" s="1724"/>
      <c r="H4" s="350"/>
      <c r="I4" s="350"/>
      <c r="J4" s="1662"/>
      <c r="K4" s="351"/>
      <c r="L4" s="351"/>
      <c r="M4" s="351"/>
      <c r="N4" s="351"/>
      <c r="O4" s="351"/>
      <c r="P4" s="346"/>
      <c r="Q4" s="346"/>
      <c r="R4" s="346"/>
      <c r="S4" s="347"/>
    </row>
    <row r="5" spans="1:19" s="352" customFormat="1" ht="21.75" customHeight="1" x14ac:dyDescent="0.25">
      <c r="A5" s="347"/>
      <c r="B5" s="1722" t="s">
        <v>391</v>
      </c>
      <c r="C5" s="1723"/>
      <c r="D5" s="1723"/>
      <c r="E5" s="1723"/>
      <c r="F5" s="1723"/>
      <c r="G5" s="1724"/>
      <c r="H5" s="350"/>
      <c r="I5" s="350"/>
      <c r="J5" s="1662"/>
      <c r="K5" s="351"/>
      <c r="L5" s="351"/>
      <c r="M5" s="351"/>
      <c r="N5" s="351"/>
      <c r="O5" s="351"/>
      <c r="P5" s="346"/>
      <c r="Q5" s="346"/>
      <c r="R5" s="346"/>
      <c r="S5" s="347"/>
    </row>
    <row r="6" spans="1:19" s="341" customFormat="1" ht="21.75" customHeight="1" x14ac:dyDescent="0.25">
      <c r="B6" s="1725" t="str">
        <f>'[11]VENC. '!$B$4</f>
        <v xml:space="preserve"> AL 31 DE MARZO DE 2023</v>
      </c>
      <c r="C6" s="1726"/>
      <c r="D6" s="1726"/>
      <c r="E6" s="1726"/>
      <c r="F6" s="1726"/>
      <c r="G6" s="1727"/>
      <c r="H6" s="350"/>
      <c r="I6" s="350"/>
      <c r="J6" s="1662"/>
      <c r="K6" s="353"/>
      <c r="L6" s="353"/>
      <c r="M6" s="345"/>
      <c r="N6" s="345"/>
      <c r="O6" s="354"/>
      <c r="P6" s="346"/>
      <c r="Q6" s="346"/>
      <c r="R6" s="346"/>
      <c r="S6" s="346"/>
    </row>
    <row r="7" spans="1:19" ht="30" customHeight="1" x14ac:dyDescent="0.35">
      <c r="B7" s="1730" t="s">
        <v>362</v>
      </c>
      <c r="C7" s="1722" t="s">
        <v>363</v>
      </c>
      <c r="D7" s="1724"/>
      <c r="E7" s="1730" t="s">
        <v>364</v>
      </c>
      <c r="F7" s="1730" t="s">
        <v>365</v>
      </c>
      <c r="G7" s="1730" t="s">
        <v>366</v>
      </c>
      <c r="H7" s="1737" t="s">
        <v>367</v>
      </c>
      <c r="J7" s="1640"/>
      <c r="K7" s="1640"/>
      <c r="L7" s="1640"/>
      <c r="M7" s="1640"/>
      <c r="N7" s="1640"/>
      <c r="O7" s="1640"/>
    </row>
    <row r="8" spans="1:19" ht="30" customHeight="1" x14ac:dyDescent="0.35">
      <c r="B8" s="1730"/>
      <c r="C8" s="1722"/>
      <c r="D8" s="1724"/>
      <c r="E8" s="1730"/>
      <c r="F8" s="1730"/>
      <c r="G8" s="1730"/>
      <c r="H8" s="1738"/>
      <c r="J8" s="1640"/>
      <c r="K8" s="1640"/>
      <c r="L8" s="1640"/>
      <c r="M8" s="1640"/>
      <c r="N8" s="1640"/>
      <c r="O8" s="1640"/>
    </row>
    <row r="9" spans="1:19" ht="30" customHeight="1" x14ac:dyDescent="0.35">
      <c r="B9" s="1731"/>
      <c r="C9" s="1275" t="s">
        <v>368</v>
      </c>
      <c r="D9" s="1276" t="s">
        <v>369</v>
      </c>
      <c r="E9" s="1731"/>
      <c r="F9" s="1277" t="s">
        <v>370</v>
      </c>
      <c r="G9" s="1731"/>
      <c r="H9" s="1739"/>
      <c r="I9" s="353"/>
      <c r="J9" s="354"/>
      <c r="K9" s="338"/>
      <c r="L9" s="338"/>
      <c r="M9" s="338"/>
      <c r="N9" s="338"/>
      <c r="O9" s="338"/>
      <c r="P9" s="340"/>
    </row>
    <row r="10" spans="1:19" s="365" customFormat="1" ht="31.5" customHeight="1" x14ac:dyDescent="0.25">
      <c r="B10" s="1732" t="s">
        <v>392</v>
      </c>
      <c r="C10" s="1733"/>
      <c r="D10" s="1733"/>
      <c r="E10" s="1733"/>
      <c r="F10" s="1279">
        <f>SUM(F11)+F21+F36+F38+F40</f>
        <v>614498778.25</v>
      </c>
      <c r="G10" s="1280"/>
      <c r="O10" s="353"/>
      <c r="P10" s="353"/>
      <c r="Q10" s="353"/>
      <c r="R10" s="353"/>
      <c r="S10" s="353"/>
    </row>
    <row r="11" spans="1:19" s="365" customFormat="1" ht="27" customHeight="1" x14ac:dyDescent="0.25">
      <c r="B11" s="1281" t="s">
        <v>372</v>
      </c>
      <c r="C11" s="1282"/>
      <c r="D11" s="1282"/>
      <c r="E11" s="1282"/>
      <c r="F11" s="1279">
        <f>SUM(F12:F20)</f>
        <v>238873166.25</v>
      </c>
      <c r="G11" s="1280"/>
      <c r="H11" s="495" t="s">
        <v>694</v>
      </c>
      <c r="O11" s="353"/>
      <c r="P11" s="353"/>
      <c r="Q11" s="353"/>
      <c r="R11" s="353"/>
      <c r="S11" s="353"/>
    </row>
    <row r="12" spans="1:19" s="370" customFormat="1" ht="21" customHeight="1" x14ac:dyDescent="0.25">
      <c r="A12" s="365"/>
      <c r="B12" s="636">
        <v>150000139040</v>
      </c>
      <c r="C12" s="628" t="s">
        <v>673</v>
      </c>
      <c r="D12" s="628">
        <v>45019</v>
      </c>
      <c r="E12" s="628" t="s">
        <v>674</v>
      </c>
      <c r="F12" s="1254">
        <v>43567439.469999999</v>
      </c>
      <c r="G12" s="1255">
        <v>3</v>
      </c>
      <c r="H12" s="1283"/>
      <c r="I12" s="365"/>
      <c r="J12" s="365"/>
      <c r="K12" s="365">
        <f>F12*G12/100</f>
        <v>1307023</v>
      </c>
      <c r="O12" s="374"/>
      <c r="P12" s="374"/>
      <c r="Q12" s="374"/>
      <c r="R12" s="374"/>
      <c r="S12" s="374"/>
    </row>
    <row r="13" spans="1:19" s="370" customFormat="1" ht="21" customHeight="1" x14ac:dyDescent="0.25">
      <c r="A13" s="365"/>
      <c r="B13" s="636">
        <v>150000139050</v>
      </c>
      <c r="C13" s="628" t="s">
        <v>673</v>
      </c>
      <c r="D13" s="628">
        <v>45019</v>
      </c>
      <c r="E13" s="628" t="s">
        <v>674</v>
      </c>
      <c r="F13" s="1254">
        <v>20851376.530000001</v>
      </c>
      <c r="G13" s="1255">
        <v>3</v>
      </c>
      <c r="H13" s="1283"/>
      <c r="I13" s="365"/>
      <c r="J13" s="365"/>
      <c r="K13" s="365">
        <f t="shared" ref="K13:K35" si="0">F13*G13/100</f>
        <v>625541</v>
      </c>
      <c r="O13" s="374"/>
      <c r="P13" s="374"/>
      <c r="Q13" s="374"/>
      <c r="R13" s="374"/>
      <c r="S13" s="374"/>
    </row>
    <row r="14" spans="1:19" s="370" customFormat="1" ht="21" customHeight="1" x14ac:dyDescent="0.25">
      <c r="A14" s="365"/>
      <c r="B14" s="1284">
        <v>150000139069</v>
      </c>
      <c r="C14" s="628" t="s">
        <v>673</v>
      </c>
      <c r="D14" s="628">
        <v>45019</v>
      </c>
      <c r="E14" s="628" t="s">
        <v>674</v>
      </c>
      <c r="F14" s="1285">
        <v>167000000</v>
      </c>
      <c r="G14" s="1286">
        <v>3</v>
      </c>
      <c r="H14" s="1283"/>
      <c r="I14" s="365"/>
      <c r="J14" s="365"/>
      <c r="K14" s="365">
        <f t="shared" si="0"/>
        <v>5010000</v>
      </c>
      <c r="O14" s="374"/>
      <c r="P14" s="374"/>
      <c r="Q14" s="374"/>
      <c r="R14" s="374"/>
      <c r="S14" s="374"/>
    </row>
    <row r="15" spans="1:19" s="370" customFormat="1" ht="21" customHeight="1" x14ac:dyDescent="0.25">
      <c r="A15" s="365"/>
      <c r="B15" s="644">
        <v>110000053315</v>
      </c>
      <c r="C15" s="871">
        <v>42916</v>
      </c>
      <c r="D15" s="871">
        <v>45838</v>
      </c>
      <c r="E15" s="872" t="s">
        <v>383</v>
      </c>
      <c r="F15" s="873">
        <v>2313170.35</v>
      </c>
      <c r="G15" s="808">
        <v>3.25</v>
      </c>
      <c r="H15" s="505" t="s">
        <v>375</v>
      </c>
      <c r="I15" s="365" t="s">
        <v>397</v>
      </c>
      <c r="J15" s="365"/>
      <c r="K15" s="365">
        <f t="shared" si="0"/>
        <v>75178</v>
      </c>
      <c r="O15" s="374"/>
      <c r="P15" s="374"/>
      <c r="Q15" s="374"/>
      <c r="R15" s="374"/>
      <c r="S15" s="374"/>
    </row>
    <row r="16" spans="1:19" s="370" customFormat="1" ht="21" customHeight="1" x14ac:dyDescent="0.25">
      <c r="A16" s="365"/>
      <c r="B16" s="644">
        <v>110000055015</v>
      </c>
      <c r="C16" s="871">
        <v>42964</v>
      </c>
      <c r="D16" s="871">
        <v>45887</v>
      </c>
      <c r="E16" s="872" t="s">
        <v>383</v>
      </c>
      <c r="F16" s="873">
        <f>554.52+554.52+554.52+554.52+554.52+554.52+554.52</f>
        <v>3881.64</v>
      </c>
      <c r="G16" s="808">
        <v>3.25</v>
      </c>
      <c r="H16" s="398" t="s">
        <v>375</v>
      </c>
      <c r="I16" s="353" t="s">
        <v>384</v>
      </c>
      <c r="J16" s="365"/>
      <c r="K16" s="365">
        <f t="shared" si="0"/>
        <v>126</v>
      </c>
      <c r="O16" s="374"/>
      <c r="P16" s="374"/>
      <c r="Q16" s="374"/>
      <c r="R16" s="374"/>
      <c r="S16" s="374"/>
    </row>
    <row r="17" spans="1:19" s="365" customFormat="1" ht="21" customHeight="1" x14ac:dyDescent="0.25">
      <c r="B17" s="1213">
        <v>110000058643</v>
      </c>
      <c r="C17" s="880" t="s">
        <v>398</v>
      </c>
      <c r="D17" s="880" t="s">
        <v>399</v>
      </c>
      <c r="E17" s="880" t="s">
        <v>383</v>
      </c>
      <c r="F17" s="873">
        <v>5125000</v>
      </c>
      <c r="G17" s="808">
        <v>3.3</v>
      </c>
      <c r="H17" s="505" t="s">
        <v>375</v>
      </c>
      <c r="I17" s="365" t="s">
        <v>400</v>
      </c>
      <c r="K17" s="365">
        <f t="shared" si="0"/>
        <v>169125</v>
      </c>
      <c r="O17" s="353"/>
      <c r="P17" s="353"/>
      <c r="Q17" s="353"/>
      <c r="R17" s="353"/>
      <c r="S17" s="353"/>
    </row>
    <row r="18" spans="1:19" s="365" customFormat="1" ht="21" customHeight="1" x14ac:dyDescent="0.25">
      <c r="B18" s="1219">
        <v>110000083996</v>
      </c>
      <c r="C18" s="1221">
        <v>44902</v>
      </c>
      <c r="D18" s="1221">
        <v>46000</v>
      </c>
      <c r="E18" s="1221" t="s">
        <v>477</v>
      </c>
      <c r="F18" s="1222">
        <v>5835.6</v>
      </c>
      <c r="G18" s="1223">
        <v>4.95</v>
      </c>
      <c r="K18" s="365">
        <f t="shared" si="0"/>
        <v>289</v>
      </c>
      <c r="O18" s="353"/>
      <c r="P18" s="353"/>
      <c r="Q18" s="353"/>
      <c r="R18" s="353"/>
      <c r="S18" s="353"/>
    </row>
    <row r="19" spans="1:19" s="365" customFormat="1" ht="21" customHeight="1" x14ac:dyDescent="0.25">
      <c r="B19" s="1219">
        <v>110000084008</v>
      </c>
      <c r="C19" s="1221">
        <v>44902</v>
      </c>
      <c r="D19" s="1221">
        <v>46000</v>
      </c>
      <c r="E19" s="1221" t="s">
        <v>477</v>
      </c>
      <c r="F19" s="1222">
        <v>5353.62</v>
      </c>
      <c r="G19" s="1223">
        <v>4.95</v>
      </c>
      <c r="K19" s="365">
        <f t="shared" si="0"/>
        <v>265</v>
      </c>
      <c r="O19" s="353"/>
      <c r="P19" s="353"/>
      <c r="Q19" s="353"/>
      <c r="R19" s="353"/>
      <c r="S19" s="353"/>
    </row>
    <row r="20" spans="1:19" s="365" customFormat="1" ht="21" customHeight="1" x14ac:dyDescent="0.25">
      <c r="B20" s="1219">
        <v>110000084017</v>
      </c>
      <c r="C20" s="1221">
        <v>44902</v>
      </c>
      <c r="D20" s="1221">
        <v>46000</v>
      </c>
      <c r="E20" s="1221" t="s">
        <v>477</v>
      </c>
      <c r="F20" s="1222">
        <v>1109.04</v>
      </c>
      <c r="G20" s="1223">
        <v>4.95</v>
      </c>
      <c r="K20" s="365">
        <f t="shared" si="0"/>
        <v>55</v>
      </c>
      <c r="O20" s="353"/>
      <c r="P20" s="353"/>
      <c r="Q20" s="353"/>
      <c r="R20" s="353"/>
      <c r="S20" s="353"/>
    </row>
    <row r="21" spans="1:19" s="365" customFormat="1" ht="21" customHeight="1" x14ac:dyDescent="0.25">
      <c r="B21" s="1232" t="s">
        <v>401</v>
      </c>
      <c r="C21" s="1233"/>
      <c r="D21" s="1233"/>
      <c r="E21" s="1233"/>
      <c r="F21" s="1279">
        <f>SUM(F22:F35)</f>
        <v>326347205.00999999</v>
      </c>
      <c r="G21" s="1235"/>
      <c r="K21" s="370">
        <f>SUM(K12:K20)</f>
        <v>7187602</v>
      </c>
      <c r="L21" s="1287">
        <f>K21/F11</f>
        <v>3.0089999999999999E-2</v>
      </c>
      <c r="O21" s="353"/>
      <c r="P21" s="353"/>
      <c r="Q21" s="353"/>
      <c r="R21" s="353"/>
      <c r="S21" s="353"/>
    </row>
    <row r="22" spans="1:19" s="370" customFormat="1" ht="21" hidden="1" customHeight="1" x14ac:dyDescent="0.25">
      <c r="A22" s="365"/>
      <c r="B22" s="644"/>
      <c r="C22" s="871"/>
      <c r="D22" s="871"/>
      <c r="E22" s="872"/>
      <c r="F22" s="873"/>
      <c r="G22" s="808"/>
      <c r="H22" s="505" t="s">
        <v>375</v>
      </c>
      <c r="I22" s="365"/>
      <c r="J22" s="365"/>
      <c r="K22" s="365">
        <f t="shared" si="0"/>
        <v>0</v>
      </c>
      <c r="O22" s="374"/>
      <c r="P22" s="374"/>
      <c r="Q22" s="374"/>
      <c r="R22" s="374"/>
      <c r="S22" s="374"/>
    </row>
    <row r="23" spans="1:19" s="370" customFormat="1" ht="21" customHeight="1" x14ac:dyDescent="0.25">
      <c r="A23" s="365"/>
      <c r="B23" s="644" t="s">
        <v>654</v>
      </c>
      <c r="C23" s="871" t="s">
        <v>655</v>
      </c>
      <c r="D23" s="871">
        <v>45022</v>
      </c>
      <c r="E23" s="872" t="s">
        <v>469</v>
      </c>
      <c r="F23" s="873">
        <v>116000000</v>
      </c>
      <c r="G23" s="808">
        <v>3.85</v>
      </c>
      <c r="H23" s="505"/>
      <c r="I23" s="365"/>
      <c r="J23" s="365"/>
      <c r="K23" s="365">
        <f t="shared" si="0"/>
        <v>4466000</v>
      </c>
      <c r="O23" s="374"/>
      <c r="P23" s="374"/>
      <c r="Q23" s="374"/>
      <c r="R23" s="374"/>
      <c r="S23" s="374"/>
    </row>
    <row r="24" spans="1:19" s="370" customFormat="1" ht="21" customHeight="1" x14ac:dyDescent="0.25">
      <c r="A24" s="365"/>
      <c r="B24" s="644" t="s">
        <v>404</v>
      </c>
      <c r="C24" s="871">
        <v>42599</v>
      </c>
      <c r="D24" s="871">
        <v>45155</v>
      </c>
      <c r="E24" s="872" t="s">
        <v>381</v>
      </c>
      <c r="F24" s="873">
        <v>16344806.85</v>
      </c>
      <c r="G24" s="808">
        <v>4.8</v>
      </c>
      <c r="H24" s="505" t="s">
        <v>375</v>
      </c>
      <c r="I24" s="365"/>
      <c r="J24" s="365"/>
      <c r="K24" s="365">
        <f t="shared" si="0"/>
        <v>784551</v>
      </c>
      <c r="O24" s="374"/>
      <c r="P24" s="374"/>
      <c r="Q24" s="374"/>
      <c r="R24" s="374"/>
      <c r="S24" s="374"/>
    </row>
    <row r="25" spans="1:19" s="370" customFormat="1" ht="21" customHeight="1" x14ac:dyDescent="0.25">
      <c r="A25" s="365"/>
      <c r="B25" s="644" t="s">
        <v>405</v>
      </c>
      <c r="C25" s="871">
        <v>42250</v>
      </c>
      <c r="D25" s="872">
        <v>45170</v>
      </c>
      <c r="E25" s="872" t="s">
        <v>383</v>
      </c>
      <c r="F25" s="873">
        <v>13021909.07</v>
      </c>
      <c r="G25" s="808">
        <v>4.875</v>
      </c>
      <c r="H25" s="505" t="s">
        <v>375</v>
      </c>
      <c r="I25" s="365"/>
      <c r="J25" s="365"/>
      <c r="K25" s="365">
        <f t="shared" si="0"/>
        <v>634818</v>
      </c>
      <c r="O25" s="374"/>
      <c r="P25" s="374"/>
      <c r="Q25" s="374"/>
      <c r="R25" s="374"/>
      <c r="S25" s="374"/>
    </row>
    <row r="26" spans="1:19" s="370" customFormat="1" ht="21" customHeight="1" x14ac:dyDescent="0.25">
      <c r="A26" s="365"/>
      <c r="B26" s="644" t="s">
        <v>406</v>
      </c>
      <c r="C26" s="871">
        <v>42277</v>
      </c>
      <c r="D26" s="872">
        <v>45197</v>
      </c>
      <c r="E26" s="872" t="s">
        <v>383</v>
      </c>
      <c r="F26" s="873">
        <v>19695245.920000002</v>
      </c>
      <c r="G26" s="808">
        <v>4.9000000000000004</v>
      </c>
      <c r="H26" s="505" t="s">
        <v>375</v>
      </c>
      <c r="I26" s="365"/>
      <c r="J26" s="365"/>
      <c r="K26" s="365">
        <f t="shared" si="0"/>
        <v>965067</v>
      </c>
      <c r="O26" s="374"/>
      <c r="P26" s="374"/>
      <c r="Q26" s="374"/>
      <c r="R26" s="374"/>
      <c r="S26" s="374"/>
    </row>
    <row r="27" spans="1:19" s="370" customFormat="1" ht="21" customHeight="1" x14ac:dyDescent="0.25">
      <c r="A27" s="365"/>
      <c r="B27" s="644" t="s">
        <v>407</v>
      </c>
      <c r="C27" s="871">
        <v>43815</v>
      </c>
      <c r="D27" s="872">
        <v>45275</v>
      </c>
      <c r="E27" s="872" t="s">
        <v>408</v>
      </c>
      <c r="F27" s="873">
        <v>25000000</v>
      </c>
      <c r="G27" s="808">
        <v>3.75</v>
      </c>
      <c r="H27" s="505" t="s">
        <v>375</v>
      </c>
      <c r="I27" s="365" t="s">
        <v>409</v>
      </c>
      <c r="J27" s="365"/>
      <c r="K27" s="365">
        <f t="shared" si="0"/>
        <v>937500</v>
      </c>
      <c r="O27" s="374"/>
      <c r="P27" s="374"/>
      <c r="Q27" s="374"/>
      <c r="R27" s="374"/>
      <c r="S27" s="374"/>
    </row>
    <row r="28" spans="1:19" s="365" customFormat="1" ht="21" customHeight="1" x14ac:dyDescent="0.25">
      <c r="B28" s="644" t="s">
        <v>410</v>
      </c>
      <c r="C28" s="871">
        <v>43546</v>
      </c>
      <c r="D28" s="871">
        <v>45373</v>
      </c>
      <c r="E28" s="872" t="s">
        <v>376</v>
      </c>
      <c r="F28" s="873">
        <v>15771394.189999999</v>
      </c>
      <c r="G28" s="808">
        <v>4.875</v>
      </c>
      <c r="H28" s="517" t="s">
        <v>375</v>
      </c>
      <c r="I28" s="518" t="s">
        <v>411</v>
      </c>
      <c r="K28" s="365">
        <f t="shared" si="0"/>
        <v>768855</v>
      </c>
      <c r="O28" s="353"/>
      <c r="P28" s="353"/>
      <c r="Q28" s="353"/>
      <c r="R28" s="353"/>
      <c r="S28" s="353"/>
    </row>
    <row r="29" spans="1:19" s="365" customFormat="1" ht="21" customHeight="1" x14ac:dyDescent="0.25">
      <c r="A29" s="519"/>
      <c r="B29" s="644" t="s">
        <v>412</v>
      </c>
      <c r="C29" s="872" t="s">
        <v>413</v>
      </c>
      <c r="D29" s="872" t="s">
        <v>414</v>
      </c>
      <c r="E29" s="872" t="s">
        <v>379</v>
      </c>
      <c r="F29" s="873">
        <v>45341416.159999996</v>
      </c>
      <c r="G29" s="808">
        <v>4.25</v>
      </c>
      <c r="H29" s="505" t="s">
        <v>375</v>
      </c>
      <c r="J29" s="337"/>
      <c r="K29" s="365">
        <f t="shared" si="0"/>
        <v>1927010</v>
      </c>
      <c r="O29" s="353"/>
      <c r="P29" s="353"/>
      <c r="Q29" s="353"/>
      <c r="R29" s="353"/>
      <c r="S29" s="353"/>
    </row>
    <row r="30" spans="1:19" s="365" customFormat="1" ht="21" customHeight="1" x14ac:dyDescent="0.25">
      <c r="B30" s="644" t="s">
        <v>415</v>
      </c>
      <c r="C30" s="871">
        <v>43318</v>
      </c>
      <c r="D30" s="871">
        <v>45509</v>
      </c>
      <c r="E30" s="872" t="s">
        <v>379</v>
      </c>
      <c r="F30" s="873">
        <v>1500000</v>
      </c>
      <c r="G30" s="808">
        <v>4.875</v>
      </c>
      <c r="H30" s="505" t="s">
        <v>375</v>
      </c>
      <c r="K30" s="365">
        <f t="shared" si="0"/>
        <v>73125</v>
      </c>
      <c r="O30" s="353"/>
      <c r="P30" s="353"/>
      <c r="Q30" s="353"/>
      <c r="R30" s="353"/>
      <c r="S30" s="353"/>
    </row>
    <row r="31" spans="1:19" s="520" customFormat="1" ht="21" customHeight="1" x14ac:dyDescent="0.25">
      <c r="B31" s="644" t="s">
        <v>416</v>
      </c>
      <c r="C31" s="871">
        <v>43340</v>
      </c>
      <c r="D31" s="871">
        <v>45530</v>
      </c>
      <c r="E31" s="872" t="s">
        <v>379</v>
      </c>
      <c r="F31" s="873">
        <v>16766916.210000001</v>
      </c>
      <c r="G31" s="649">
        <v>4.875</v>
      </c>
      <c r="H31" s="505" t="s">
        <v>375</v>
      </c>
      <c r="I31" s="365"/>
      <c r="K31" s="365">
        <f t="shared" si="0"/>
        <v>817387</v>
      </c>
      <c r="N31" s="524"/>
      <c r="O31" s="524"/>
      <c r="P31" s="524"/>
      <c r="Q31" s="524"/>
      <c r="R31" s="524"/>
    </row>
    <row r="32" spans="1:19" s="370" customFormat="1" ht="21" customHeight="1" x14ac:dyDescent="0.25">
      <c r="A32" s="365"/>
      <c r="B32" s="644" t="s">
        <v>417</v>
      </c>
      <c r="C32" s="871">
        <v>43017</v>
      </c>
      <c r="D32" s="872">
        <v>45574</v>
      </c>
      <c r="E32" s="872" t="s">
        <v>381</v>
      </c>
      <c r="F32" s="873">
        <v>4861764.57</v>
      </c>
      <c r="G32" s="808">
        <v>4.5</v>
      </c>
      <c r="H32" s="505" t="s">
        <v>375</v>
      </c>
      <c r="I32" s="365"/>
      <c r="J32" s="365"/>
      <c r="K32" s="365">
        <f t="shared" si="0"/>
        <v>218779</v>
      </c>
      <c r="O32" s="374"/>
      <c r="P32" s="374"/>
      <c r="Q32" s="374"/>
      <c r="R32" s="374"/>
      <c r="S32" s="374"/>
    </row>
    <row r="33" spans="1:19" s="370" customFormat="1" ht="21" customHeight="1" x14ac:dyDescent="0.25">
      <c r="A33" s="365"/>
      <c r="B33" s="644" t="s">
        <v>418</v>
      </c>
      <c r="C33" s="871">
        <v>43815</v>
      </c>
      <c r="D33" s="872">
        <v>45642</v>
      </c>
      <c r="E33" s="872" t="s">
        <v>376</v>
      </c>
      <c r="F33" s="873">
        <v>2855756.38</v>
      </c>
      <c r="G33" s="808">
        <v>4</v>
      </c>
      <c r="H33" s="505" t="s">
        <v>375</v>
      </c>
      <c r="I33" s="365" t="s">
        <v>409</v>
      </c>
      <c r="J33" s="365"/>
      <c r="K33" s="365">
        <f t="shared" si="0"/>
        <v>114230</v>
      </c>
      <c r="O33" s="374"/>
      <c r="P33" s="374"/>
      <c r="Q33" s="374"/>
      <c r="R33" s="374"/>
      <c r="S33" s="374"/>
    </row>
    <row r="34" spans="1:19" s="370" customFormat="1" ht="21" customHeight="1" x14ac:dyDescent="0.25">
      <c r="A34" s="365"/>
      <c r="B34" s="644" t="s">
        <v>419</v>
      </c>
      <c r="C34" s="871">
        <v>43511</v>
      </c>
      <c r="D34" s="872">
        <v>45702</v>
      </c>
      <c r="E34" s="872" t="s">
        <v>379</v>
      </c>
      <c r="F34" s="873">
        <v>37459445.329999998</v>
      </c>
      <c r="G34" s="808">
        <v>5</v>
      </c>
      <c r="H34" s="505" t="s">
        <v>375</v>
      </c>
      <c r="I34" s="365" t="s">
        <v>420</v>
      </c>
      <c r="J34" s="365"/>
      <c r="K34" s="365">
        <f t="shared" si="0"/>
        <v>1872972</v>
      </c>
      <c r="O34" s="374"/>
      <c r="P34" s="374"/>
      <c r="Q34" s="374"/>
      <c r="R34" s="374"/>
      <c r="S34" s="374"/>
    </row>
    <row r="35" spans="1:19" s="370" customFormat="1" ht="21" customHeight="1" x14ac:dyDescent="0.25">
      <c r="A35" s="365"/>
      <c r="B35" s="644" t="s">
        <v>421</v>
      </c>
      <c r="C35" s="871">
        <v>43403</v>
      </c>
      <c r="D35" s="872">
        <v>45960</v>
      </c>
      <c r="E35" s="872" t="s">
        <v>381</v>
      </c>
      <c r="F35" s="873">
        <v>11728550.33</v>
      </c>
      <c r="G35" s="808">
        <v>5</v>
      </c>
      <c r="H35" s="505" t="s">
        <v>375</v>
      </c>
      <c r="I35" s="365"/>
      <c r="J35" s="365"/>
      <c r="K35" s="365">
        <f t="shared" si="0"/>
        <v>586428</v>
      </c>
      <c r="O35" s="374"/>
      <c r="P35" s="374"/>
      <c r="Q35" s="374"/>
      <c r="R35" s="374"/>
      <c r="S35" s="374"/>
    </row>
    <row r="36" spans="1:19" s="365" customFormat="1" ht="21" hidden="1" customHeight="1" x14ac:dyDescent="0.25">
      <c r="B36" s="1232" t="s">
        <v>422</v>
      </c>
      <c r="C36" s="1233"/>
      <c r="D36" s="1233"/>
      <c r="E36" s="1233"/>
      <c r="F36" s="1279">
        <f>SUM(F37:F37)</f>
        <v>0</v>
      </c>
      <c r="G36" s="1235"/>
      <c r="O36" s="353"/>
      <c r="P36" s="353"/>
      <c r="Q36" s="353"/>
      <c r="R36" s="353"/>
      <c r="S36" s="353"/>
    </row>
    <row r="37" spans="1:19" s="365" customFormat="1" ht="21" hidden="1" customHeight="1" x14ac:dyDescent="0.25">
      <c r="B37" s="1213"/>
      <c r="C37" s="1226"/>
      <c r="D37" s="1230"/>
      <c r="E37" s="1231"/>
      <c r="F37" s="807"/>
      <c r="G37" s="808"/>
      <c r="H37" s="505"/>
      <c r="O37" s="353"/>
      <c r="P37" s="353"/>
      <c r="Q37" s="353"/>
      <c r="R37" s="353"/>
      <c r="S37" s="353"/>
    </row>
    <row r="38" spans="1:19" s="365" customFormat="1" ht="21" customHeight="1" x14ac:dyDescent="0.25">
      <c r="B38" s="1288" t="s">
        <v>423</v>
      </c>
      <c r="C38" s="1289"/>
      <c r="D38" s="1289"/>
      <c r="E38" s="1289"/>
      <c r="F38" s="1290">
        <f>SUM(F39:F39)</f>
        <v>24278406.989999998</v>
      </c>
      <c r="G38" s="1235"/>
      <c r="K38" s="370">
        <f>SUM(K23:K37)</f>
        <v>14166722</v>
      </c>
      <c r="L38" s="1287">
        <f>K38/F21</f>
        <v>4.3409999999999997E-2</v>
      </c>
      <c r="N38" s="365">
        <f>F38+F40</f>
        <v>49278407</v>
      </c>
      <c r="O38" s="353"/>
      <c r="P38" s="353"/>
      <c r="Q38" s="353"/>
      <c r="R38" s="353"/>
      <c r="S38" s="353"/>
    </row>
    <row r="39" spans="1:19" s="365" customFormat="1" ht="21" customHeight="1" x14ac:dyDescent="0.25">
      <c r="A39" s="519"/>
      <c r="B39" s="1213">
        <v>50401687976</v>
      </c>
      <c r="C39" s="1226">
        <v>42333</v>
      </c>
      <c r="D39" s="880">
        <v>45253</v>
      </c>
      <c r="E39" s="1231" t="s">
        <v>383</v>
      </c>
      <c r="F39" s="807">
        <v>24278406.989999998</v>
      </c>
      <c r="G39" s="808">
        <v>5.4</v>
      </c>
      <c r="H39" s="505" t="s">
        <v>375</v>
      </c>
      <c r="K39" s="365">
        <f>F39*G39/100</f>
        <v>1311034</v>
      </c>
      <c r="O39" s="353"/>
      <c r="P39" s="353"/>
      <c r="Q39" s="353"/>
      <c r="R39" s="353"/>
      <c r="S39" s="353"/>
    </row>
    <row r="40" spans="1:19" s="365" customFormat="1" ht="21" customHeight="1" x14ac:dyDescent="0.25">
      <c r="B40" s="1288" t="s">
        <v>424</v>
      </c>
      <c r="C40" s="1289"/>
      <c r="D40" s="1289"/>
      <c r="E40" s="1289"/>
      <c r="F40" s="1290">
        <f>SUM(F41:F41)</f>
        <v>25000000</v>
      </c>
      <c r="G40" s="819"/>
      <c r="K40" s="365">
        <f t="shared" ref="K40:K41" si="1">F40*G40/100</f>
        <v>0</v>
      </c>
      <c r="O40" s="353"/>
      <c r="P40" s="353"/>
      <c r="Q40" s="353"/>
      <c r="R40" s="353"/>
      <c r="S40" s="353"/>
    </row>
    <row r="41" spans="1:19" s="365" customFormat="1" ht="21" customHeight="1" x14ac:dyDescent="0.25">
      <c r="B41" s="1213">
        <v>202121699</v>
      </c>
      <c r="C41" s="1226">
        <v>42356</v>
      </c>
      <c r="D41" s="880">
        <v>45278</v>
      </c>
      <c r="E41" s="1231" t="s">
        <v>376</v>
      </c>
      <c r="F41" s="807">
        <v>25000000</v>
      </c>
      <c r="G41" s="808">
        <v>5</v>
      </c>
      <c r="H41" s="505" t="s">
        <v>375</v>
      </c>
      <c r="K41" s="365">
        <f t="shared" si="1"/>
        <v>1250000</v>
      </c>
      <c r="O41" s="353"/>
      <c r="P41" s="353"/>
      <c r="Q41" s="353"/>
      <c r="R41" s="353"/>
      <c r="S41" s="353"/>
    </row>
    <row r="42" spans="1:19" s="365" customFormat="1" ht="6" customHeight="1" x14ac:dyDescent="0.25">
      <c r="B42" s="1291"/>
      <c r="C42" s="1292"/>
      <c r="D42" s="1292"/>
      <c r="E42" s="1292"/>
      <c r="F42" s="1292"/>
      <c r="G42" s="1293"/>
      <c r="H42" s="1292"/>
      <c r="O42" s="353"/>
      <c r="P42" s="353"/>
      <c r="Q42" s="353"/>
      <c r="R42" s="353"/>
      <c r="S42" s="353"/>
    </row>
    <row r="43" spans="1:19" s="365" customFormat="1" ht="21" hidden="1" customHeight="1" x14ac:dyDescent="0.25">
      <c r="B43" s="1291"/>
      <c r="C43" s="1292"/>
      <c r="D43" s="1292"/>
      <c r="E43" s="1292"/>
      <c r="F43" s="1292"/>
      <c r="G43" s="1294"/>
      <c r="H43" s="1292"/>
      <c r="O43" s="353"/>
      <c r="P43" s="353"/>
      <c r="Q43" s="353"/>
      <c r="R43" s="353"/>
      <c r="S43" s="353"/>
    </row>
    <row r="44" spans="1:19" s="839" customFormat="1" ht="9" customHeight="1" x14ac:dyDescent="0.25">
      <c r="B44" s="1295"/>
      <c r="C44" s="1296"/>
      <c r="D44" s="1297"/>
      <c r="E44" s="1297"/>
      <c r="F44" s="1298"/>
      <c r="G44" s="1299"/>
      <c r="O44" s="838"/>
      <c r="P44" s="838"/>
      <c r="Q44" s="838"/>
      <c r="R44" s="838"/>
      <c r="S44" s="838"/>
    </row>
    <row r="45" spans="1:19" s="937" customFormat="1" ht="21" customHeight="1" x14ac:dyDescent="0.3">
      <c r="B45" s="1300" t="str">
        <f>[11]SEGUROS!$B$55</f>
        <v xml:space="preserve">FUENTE: DEPTO DE TESORERIA - DNF </v>
      </c>
      <c r="C45" s="943"/>
      <c r="D45" s="943"/>
      <c r="E45" s="943"/>
      <c r="F45" s="943"/>
      <c r="G45" s="1301"/>
      <c r="H45" s="943"/>
      <c r="I45" s="943"/>
      <c r="J45" s="943"/>
      <c r="K45" s="937">
        <f>SUM(K39:K44)</f>
        <v>2561034</v>
      </c>
      <c r="L45" s="1302">
        <f>K45/(F38+F40)</f>
        <v>5.1970000000000002E-2</v>
      </c>
      <c r="O45" s="944"/>
      <c r="P45" s="944"/>
      <c r="Q45" s="944"/>
      <c r="R45" s="944"/>
      <c r="S45" s="944"/>
    </row>
    <row r="46" spans="1:19" s="937" customFormat="1" ht="21" customHeight="1" x14ac:dyDescent="0.3">
      <c r="B46" s="1303" t="str">
        <f>'[11]RESUMEN '!B45:K45</f>
        <v>29/03/2023</v>
      </c>
      <c r="C46" s="1029"/>
      <c r="D46" s="1029"/>
      <c r="E46" s="1029"/>
      <c r="F46" s="1029"/>
      <c r="G46" s="1304"/>
      <c r="H46" s="839"/>
      <c r="I46" s="891"/>
      <c r="J46" s="891"/>
      <c r="O46" s="944"/>
      <c r="P46" s="944"/>
      <c r="Q46" s="944"/>
      <c r="R46" s="944"/>
      <c r="S46" s="944"/>
    </row>
    <row r="47" spans="1:19" s="937" customFormat="1" ht="2.25" customHeight="1" x14ac:dyDescent="0.3">
      <c r="B47" s="1303"/>
      <c r="C47" s="1029"/>
      <c r="D47" s="1029"/>
      <c r="E47" s="1029"/>
      <c r="F47" s="1029"/>
      <c r="G47" s="1304"/>
      <c r="H47" s="839"/>
      <c r="I47" s="891"/>
      <c r="J47" s="891"/>
      <c r="O47" s="944"/>
      <c r="P47" s="944"/>
      <c r="Q47" s="944"/>
      <c r="R47" s="944"/>
      <c r="S47" s="944"/>
    </row>
    <row r="48" spans="1:19" s="937" customFormat="1" ht="21" customHeight="1" x14ac:dyDescent="0.3">
      <c r="B48" s="1305" t="str">
        <f>'[11]VENC. '!B$206</f>
        <v>Preparado por:    _______________________________________</v>
      </c>
      <c r="C48" s="839"/>
      <c r="D48" s="1734" t="str">
        <f>'[11]VENC. '!D$206</f>
        <v>Revisado por:      ___________________________________</v>
      </c>
      <c r="E48" s="1734"/>
      <c r="F48" s="1734"/>
      <c r="G48" s="1735"/>
      <c r="H48" s="839"/>
      <c r="I48" s="891"/>
      <c r="J48" s="891"/>
      <c r="O48" s="944"/>
      <c r="P48" s="944"/>
      <c r="Q48" s="944"/>
      <c r="R48" s="944"/>
      <c r="S48" s="944"/>
    </row>
    <row r="49" spans="2:19" s="937" customFormat="1" ht="14.15" customHeight="1" x14ac:dyDescent="0.3">
      <c r="B49" s="1736" t="str">
        <f>'[11]VENC. '!B$207</f>
        <v>Julio C. Pérez</v>
      </c>
      <c r="C49" s="1734"/>
      <c r="E49" s="839"/>
      <c r="F49" s="834" t="str">
        <f>'[11]VENC. '!D$207</f>
        <v>Lic. Matilde Jordán</v>
      </c>
      <c r="G49" s="1306"/>
      <c r="H49" s="839"/>
      <c r="I49" s="891"/>
      <c r="J49" s="891"/>
      <c r="O49" s="944"/>
      <c r="P49" s="944"/>
      <c r="Q49" s="944"/>
      <c r="R49" s="944"/>
      <c r="S49" s="944"/>
    </row>
    <row r="50" spans="2:19" s="937" customFormat="1" ht="14.15" customHeight="1" x14ac:dyDescent="0.3">
      <c r="B50" s="1736" t="s">
        <v>695</v>
      </c>
      <c r="C50" s="1734"/>
      <c r="E50" s="839"/>
      <c r="F50" s="834" t="s">
        <v>696</v>
      </c>
      <c r="G50" s="1306"/>
      <c r="H50" s="839"/>
      <c r="I50" s="891"/>
      <c r="J50" s="891"/>
      <c r="O50" s="944"/>
      <c r="P50" s="944"/>
      <c r="Q50" s="944"/>
      <c r="R50" s="944"/>
      <c r="S50" s="944"/>
    </row>
    <row r="51" spans="2:19" s="937" customFormat="1" ht="17.5" customHeight="1" thickBot="1" x14ac:dyDescent="0.35">
      <c r="B51" s="1728"/>
      <c r="C51" s="1729"/>
      <c r="D51" s="1307"/>
      <c r="E51" s="1308"/>
      <c r="F51" s="1308"/>
      <c r="G51" s="1309"/>
      <c r="H51" s="839"/>
      <c r="I51" s="891"/>
      <c r="J51" s="891"/>
      <c r="O51" s="944"/>
      <c r="P51" s="944"/>
      <c r="Q51" s="944"/>
      <c r="R51" s="944"/>
      <c r="S51" s="944"/>
    </row>
    <row r="52" spans="2:19" s="937" customFormat="1" ht="31.5" customHeight="1" x14ac:dyDescent="0.3">
      <c r="B52" s="839"/>
      <c r="C52" s="839"/>
      <c r="D52" s="839"/>
      <c r="E52" s="839"/>
      <c r="F52" s="839"/>
      <c r="G52" s="834"/>
      <c r="H52" s="839"/>
      <c r="I52" s="891"/>
      <c r="J52" s="891"/>
      <c r="O52" s="944"/>
      <c r="P52" s="944"/>
      <c r="Q52" s="944"/>
      <c r="R52" s="944"/>
      <c r="S52" s="944"/>
    </row>
  </sheetData>
  <mergeCells count="19">
    <mergeCell ref="J7:O8"/>
    <mergeCell ref="B10:E10"/>
    <mergeCell ref="D48:G48"/>
    <mergeCell ref="B49:C49"/>
    <mergeCell ref="B50:C50"/>
    <mergeCell ref="G7:G9"/>
    <mergeCell ref="H7:H9"/>
    <mergeCell ref="B51:C51"/>
    <mergeCell ref="B7:B9"/>
    <mergeCell ref="C7:D8"/>
    <mergeCell ref="E7:E9"/>
    <mergeCell ref="F7:F8"/>
    <mergeCell ref="K1:O1"/>
    <mergeCell ref="B3:G3"/>
    <mergeCell ref="J3:O3"/>
    <mergeCell ref="B4:G4"/>
    <mergeCell ref="J4:J6"/>
    <mergeCell ref="B5:G5"/>
    <mergeCell ref="B6:G6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S121"/>
  <sheetViews>
    <sheetView topLeftCell="A93" workbookViewId="0">
      <selection activeCell="J121" sqref="J121"/>
    </sheetView>
  </sheetViews>
  <sheetFormatPr baseColWidth="10" defaultColWidth="12.7265625" defaultRowHeight="15.5" x14ac:dyDescent="0.35"/>
  <cols>
    <col min="1" max="1" width="7.7265625" style="355" customWidth="1"/>
    <col min="2" max="2" width="29.54296875" style="456" customWidth="1"/>
    <col min="3" max="3" width="17" style="456" customWidth="1"/>
    <col min="4" max="4" width="16.1796875" style="456" customWidth="1"/>
    <col min="5" max="5" width="13" style="456" customWidth="1"/>
    <col min="6" max="6" width="21" style="456" customWidth="1"/>
    <col min="7" max="7" width="17.81640625" style="457" customWidth="1"/>
    <col min="8" max="8" width="32.26953125" style="891" hidden="1" customWidth="1"/>
    <col min="9" max="9" width="34.1796875" style="358" hidden="1" customWidth="1"/>
    <col min="10" max="10" width="22.7265625" style="358" customWidth="1"/>
    <col min="11" max="11" width="16" style="1357" customWidth="1"/>
    <col min="12" max="13" width="12.7265625" style="355"/>
    <col min="14" max="14" width="14" style="355" bestFit="1" customWidth="1"/>
    <col min="15" max="19" width="12.7265625" style="359"/>
    <col min="20" max="16384" width="12.7265625" style="355"/>
  </cols>
  <sheetData>
    <row r="1" spans="1:19" s="331" customFormat="1" ht="21.75" customHeight="1" x14ac:dyDescent="0.25">
      <c r="B1" s="546"/>
      <c r="C1" s="547"/>
      <c r="D1" s="547"/>
      <c r="E1" s="547"/>
      <c r="F1" s="547"/>
      <c r="G1" s="334" t="s">
        <v>432</v>
      </c>
      <c r="H1" s="833"/>
      <c r="I1" s="337"/>
      <c r="J1" s="338"/>
      <c r="K1" s="1654"/>
      <c r="L1" s="1654"/>
      <c r="M1" s="1654"/>
      <c r="N1" s="1654"/>
      <c r="O1" s="1654"/>
      <c r="P1" s="340"/>
      <c r="Q1" s="340"/>
      <c r="R1" s="340"/>
      <c r="S1" s="340"/>
    </row>
    <row r="2" spans="1:19" s="331" customFormat="1" ht="21.75" customHeight="1" x14ac:dyDescent="0.25">
      <c r="B2" s="1666" t="s">
        <v>0</v>
      </c>
      <c r="C2" s="1667"/>
      <c r="D2" s="1667"/>
      <c r="E2" s="1667"/>
      <c r="F2" s="1667"/>
      <c r="G2" s="1668"/>
      <c r="H2" s="833"/>
      <c r="I2" s="337"/>
      <c r="J2" s="338"/>
      <c r="K2" s="1310"/>
      <c r="L2" s="339"/>
      <c r="M2" s="339"/>
      <c r="N2" s="339"/>
      <c r="O2" s="339"/>
      <c r="P2" s="340"/>
      <c r="Q2" s="340"/>
      <c r="R2" s="340"/>
      <c r="S2" s="340"/>
    </row>
    <row r="3" spans="1:19" s="341" customFormat="1" ht="17.149999999999999" customHeight="1" x14ac:dyDescent="0.25">
      <c r="B3" s="1669" t="s">
        <v>433</v>
      </c>
      <c r="C3" s="1670"/>
      <c r="D3" s="1670"/>
      <c r="E3" s="1670"/>
      <c r="F3" s="1670"/>
      <c r="G3" s="1671"/>
      <c r="H3" s="834"/>
      <c r="I3" s="345"/>
      <c r="J3" s="1658"/>
      <c r="K3" s="1658"/>
      <c r="L3" s="1658"/>
      <c r="M3" s="1658"/>
      <c r="N3" s="1658"/>
      <c r="O3" s="1658"/>
      <c r="P3" s="346"/>
      <c r="Q3" s="346"/>
      <c r="R3" s="346"/>
      <c r="S3" s="346"/>
    </row>
    <row r="4" spans="1:19" s="352" customFormat="1" ht="14.15" customHeight="1" x14ac:dyDescent="0.25">
      <c r="A4" s="347"/>
      <c r="B4" s="1669" t="s">
        <v>434</v>
      </c>
      <c r="C4" s="1670"/>
      <c r="D4" s="1670"/>
      <c r="E4" s="1670"/>
      <c r="F4" s="1670"/>
      <c r="G4" s="1671"/>
      <c r="H4" s="835"/>
      <c r="I4" s="350"/>
      <c r="J4" s="1662"/>
      <c r="K4" s="1311"/>
      <c r="L4" s="351"/>
      <c r="M4" s="351"/>
      <c r="N4" s="351"/>
      <c r="O4" s="351"/>
      <c r="P4" s="346"/>
      <c r="Q4" s="346"/>
      <c r="R4" s="346"/>
      <c r="S4" s="347"/>
    </row>
    <row r="5" spans="1:19" s="352" customFormat="1" ht="21.75" customHeight="1" x14ac:dyDescent="0.25">
      <c r="A5" s="347"/>
      <c r="B5" s="1672" t="str">
        <f>'[11]VENC. '!$B$4</f>
        <v xml:space="preserve"> AL 31 DE MARZO DE 2023</v>
      </c>
      <c r="C5" s="1673"/>
      <c r="D5" s="1673"/>
      <c r="E5" s="1673"/>
      <c r="F5" s="1673"/>
      <c r="G5" s="1674"/>
      <c r="H5" s="835"/>
      <c r="I5" s="350"/>
      <c r="J5" s="1662"/>
      <c r="K5" s="1311"/>
      <c r="L5" s="351"/>
      <c r="M5" s="351"/>
      <c r="N5" s="351"/>
      <c r="O5" s="351"/>
      <c r="P5" s="346"/>
      <c r="Q5" s="346"/>
      <c r="R5" s="346"/>
      <c r="S5" s="347"/>
    </row>
    <row r="6" spans="1:19" s="341" customFormat="1" ht="7" customHeight="1" x14ac:dyDescent="0.25">
      <c r="B6" s="1649" t="s">
        <v>362</v>
      </c>
      <c r="C6" s="1651" t="s">
        <v>363</v>
      </c>
      <c r="D6" s="1652"/>
      <c r="E6" s="1649" t="s">
        <v>364</v>
      </c>
      <c r="F6" s="1649" t="s">
        <v>365</v>
      </c>
      <c r="G6" s="1649" t="s">
        <v>366</v>
      </c>
      <c r="H6" s="1696" t="s">
        <v>367</v>
      </c>
      <c r="I6" s="350"/>
      <c r="J6" s="1662"/>
      <c r="K6" s="1312"/>
      <c r="L6" s="353"/>
      <c r="M6" s="345"/>
      <c r="N6" s="345"/>
      <c r="O6" s="354"/>
      <c r="P6" s="346"/>
      <c r="Q6" s="346"/>
      <c r="R6" s="346"/>
      <c r="S6" s="346"/>
    </row>
    <row r="7" spans="1:19" ht="14.5" customHeight="1" x14ac:dyDescent="0.35">
      <c r="B7" s="1649"/>
      <c r="C7" s="1651"/>
      <c r="D7" s="1652"/>
      <c r="E7" s="1649"/>
      <c r="F7" s="1649"/>
      <c r="G7" s="1649"/>
      <c r="H7" s="1697"/>
      <c r="J7" s="1640"/>
      <c r="K7" s="1640"/>
      <c r="L7" s="1640"/>
      <c r="M7" s="1640"/>
      <c r="N7" s="1640"/>
      <c r="O7" s="1640"/>
    </row>
    <row r="8" spans="1:19" ht="16.5" customHeight="1" x14ac:dyDescent="0.35">
      <c r="B8" s="1650"/>
      <c r="C8" s="360" t="s">
        <v>368</v>
      </c>
      <c r="D8" s="361" t="s">
        <v>369</v>
      </c>
      <c r="E8" s="1650"/>
      <c r="F8" s="362" t="s">
        <v>370</v>
      </c>
      <c r="G8" s="1650"/>
      <c r="H8" s="1698"/>
      <c r="J8" s="1640"/>
      <c r="K8" s="1640"/>
      <c r="L8" s="1640"/>
      <c r="M8" s="1640"/>
      <c r="N8" s="1640"/>
      <c r="O8" s="1640"/>
    </row>
    <row r="9" spans="1:19" ht="21" customHeight="1" x14ac:dyDescent="0.35">
      <c r="B9" s="1746" t="s">
        <v>435</v>
      </c>
      <c r="C9" s="1747"/>
      <c r="D9" s="1747"/>
      <c r="E9" s="1747"/>
      <c r="F9" s="1313">
        <f>F10+F57</f>
        <v>2829468034.4099998</v>
      </c>
      <c r="G9" s="656"/>
      <c r="H9" s="838"/>
      <c r="I9" s="353"/>
      <c r="J9" s="354"/>
      <c r="K9" s="1314"/>
      <c r="L9" s="338"/>
      <c r="M9" s="338"/>
      <c r="N9" s="338"/>
      <c r="O9" s="338"/>
      <c r="P9" s="340"/>
    </row>
    <row r="10" spans="1:19" s="365" customFormat="1" ht="21" customHeight="1" x14ac:dyDescent="0.25">
      <c r="B10" s="588" t="s">
        <v>219</v>
      </c>
      <c r="C10" s="534"/>
      <c r="D10" s="534"/>
      <c r="E10" s="534"/>
      <c r="F10" s="373">
        <f>SUM(F11)+F23+F48+F51+F55</f>
        <v>1118206808.8599999</v>
      </c>
      <c r="G10" s="367"/>
      <c r="H10" s="839"/>
      <c r="J10" s="589"/>
      <c r="K10" s="1312"/>
      <c r="O10" s="353"/>
      <c r="P10" s="353"/>
      <c r="Q10" s="353"/>
      <c r="R10" s="353"/>
      <c r="S10" s="353"/>
    </row>
    <row r="11" spans="1:19" s="365" customFormat="1" ht="21" customHeight="1" x14ac:dyDescent="0.25">
      <c r="B11" s="1024" t="s">
        <v>372</v>
      </c>
      <c r="C11" s="534"/>
      <c r="D11" s="534"/>
      <c r="E11" s="534"/>
      <c r="F11" s="373">
        <f>SUM(F12:F22)</f>
        <v>558600162.10000002</v>
      </c>
      <c r="G11" s="367"/>
      <c r="H11" s="839"/>
      <c r="K11" s="1312"/>
      <c r="O11" s="353"/>
      <c r="P11" s="353"/>
      <c r="Q11" s="353"/>
      <c r="R11" s="353"/>
      <c r="S11" s="353"/>
    </row>
    <row r="12" spans="1:19" s="840" customFormat="1" ht="19.5" customHeight="1" x14ac:dyDescent="0.25">
      <c r="B12" s="636">
        <v>150000139040</v>
      </c>
      <c r="C12" s="1315" t="s">
        <v>673</v>
      </c>
      <c r="D12" s="1315">
        <v>45019</v>
      </c>
      <c r="E12" s="628" t="s">
        <v>674</v>
      </c>
      <c r="F12" s="1254">
        <v>167430159.75</v>
      </c>
      <c r="G12" s="1316">
        <v>3</v>
      </c>
      <c r="H12" s="1317"/>
      <c r="I12" s="1049"/>
      <c r="J12" s="365">
        <f>F12*G12/100</f>
        <v>5022905</v>
      </c>
      <c r="K12" s="1318"/>
      <c r="O12" s="846"/>
      <c r="P12" s="846"/>
      <c r="Q12" s="846"/>
      <c r="R12" s="846"/>
      <c r="S12" s="846"/>
    </row>
    <row r="13" spans="1:19" s="840" customFormat="1" ht="19.5" customHeight="1" x14ac:dyDescent="0.25">
      <c r="B13" s="636">
        <v>150000139050</v>
      </c>
      <c r="C13" s="1315" t="s">
        <v>673</v>
      </c>
      <c r="D13" s="1315">
        <v>45019</v>
      </c>
      <c r="E13" s="628" t="s">
        <v>674</v>
      </c>
      <c r="F13" s="1254">
        <v>80132074.459999993</v>
      </c>
      <c r="G13" s="1316">
        <v>3</v>
      </c>
      <c r="H13" s="1317"/>
      <c r="I13" s="1049"/>
      <c r="J13" s="365">
        <f t="shared" ref="J13:J76" si="0">F13*G13/100</f>
        <v>2403962</v>
      </c>
      <c r="K13" s="1318"/>
      <c r="O13" s="846"/>
      <c r="P13" s="846"/>
      <c r="Q13" s="846"/>
      <c r="R13" s="846"/>
      <c r="S13" s="846"/>
    </row>
    <row r="14" spans="1:19" s="840" customFormat="1" ht="19.5" customHeight="1" x14ac:dyDescent="0.25">
      <c r="B14" s="636">
        <v>15000139078</v>
      </c>
      <c r="C14" s="1315" t="s">
        <v>673</v>
      </c>
      <c r="D14" s="1315">
        <v>45019</v>
      </c>
      <c r="E14" s="628" t="s">
        <v>674</v>
      </c>
      <c r="F14" s="1254">
        <v>120800000</v>
      </c>
      <c r="G14" s="1316">
        <v>3</v>
      </c>
      <c r="H14" s="1317" t="s">
        <v>697</v>
      </c>
      <c r="I14" s="1049"/>
      <c r="J14" s="365">
        <f t="shared" si="0"/>
        <v>3624000</v>
      </c>
      <c r="K14" s="1318"/>
      <c r="O14" s="846"/>
      <c r="P14" s="846"/>
      <c r="Q14" s="846"/>
      <c r="R14" s="846"/>
      <c r="S14" s="846"/>
    </row>
    <row r="15" spans="1:19" s="971" customFormat="1" ht="19.5" customHeight="1" x14ac:dyDescent="0.25">
      <c r="B15" s="1213">
        <v>110000083806</v>
      </c>
      <c r="C15" s="879">
        <v>44895</v>
      </c>
      <c r="D15" s="879">
        <v>45992</v>
      </c>
      <c r="E15" s="880" t="s">
        <v>477</v>
      </c>
      <c r="F15" s="881">
        <v>203074.67</v>
      </c>
      <c r="G15" s="1214">
        <v>4.2</v>
      </c>
      <c r="H15" s="1319" t="s">
        <v>437</v>
      </c>
      <c r="I15" s="1320"/>
      <c r="J15" s="365">
        <f t="shared" si="0"/>
        <v>8529</v>
      </c>
      <c r="K15" s="1321"/>
      <c r="O15" s="974"/>
      <c r="P15" s="974"/>
      <c r="Q15" s="974"/>
      <c r="R15" s="974"/>
      <c r="S15" s="974"/>
    </row>
    <row r="16" spans="1:19" s="971" customFormat="1" ht="19.5" customHeight="1" x14ac:dyDescent="0.25">
      <c r="B16" s="1213">
        <v>110000083815</v>
      </c>
      <c r="C16" s="879">
        <v>44895</v>
      </c>
      <c r="D16" s="879">
        <v>45992</v>
      </c>
      <c r="E16" s="880" t="s">
        <v>477</v>
      </c>
      <c r="F16" s="881">
        <v>93425.72</v>
      </c>
      <c r="G16" s="1214">
        <v>4.2</v>
      </c>
      <c r="H16" s="1319" t="s">
        <v>437</v>
      </c>
      <c r="I16" s="1320"/>
      <c r="J16" s="365">
        <f t="shared" si="0"/>
        <v>3924</v>
      </c>
      <c r="K16" s="1321"/>
      <c r="O16" s="974"/>
      <c r="P16" s="974"/>
      <c r="Q16" s="974"/>
      <c r="R16" s="974"/>
      <c r="S16" s="974"/>
    </row>
    <row r="17" spans="1:19" s="971" customFormat="1" ht="19.5" customHeight="1" x14ac:dyDescent="0.25">
      <c r="B17" s="1213">
        <v>110000083833</v>
      </c>
      <c r="C17" s="879">
        <v>44895</v>
      </c>
      <c r="D17" s="879">
        <v>45992</v>
      </c>
      <c r="E17" s="880" t="s">
        <v>477</v>
      </c>
      <c r="F17" s="881">
        <v>1628234.62</v>
      </c>
      <c r="G17" s="1214">
        <v>4.2</v>
      </c>
      <c r="H17" s="1319" t="s">
        <v>437</v>
      </c>
      <c r="I17" s="1320"/>
      <c r="J17" s="365">
        <f t="shared" si="0"/>
        <v>68386</v>
      </c>
      <c r="K17" s="1321"/>
      <c r="O17" s="974"/>
      <c r="P17" s="974"/>
      <c r="Q17" s="974"/>
      <c r="R17" s="974"/>
      <c r="S17" s="974"/>
    </row>
    <row r="18" spans="1:19" s="971" customFormat="1" ht="19.5" customHeight="1" x14ac:dyDescent="0.25">
      <c r="B18" s="1213">
        <v>110000083780</v>
      </c>
      <c r="C18" s="879">
        <v>44895</v>
      </c>
      <c r="D18" s="879">
        <v>45992</v>
      </c>
      <c r="E18" s="880" t="s">
        <v>477</v>
      </c>
      <c r="F18" s="881">
        <v>9050867.8300000001</v>
      </c>
      <c r="G18" s="1214">
        <v>4.2</v>
      </c>
      <c r="H18" s="1319" t="s">
        <v>437</v>
      </c>
      <c r="I18" s="1320"/>
      <c r="J18" s="365">
        <f t="shared" si="0"/>
        <v>380136</v>
      </c>
      <c r="K18" s="1321"/>
      <c r="O18" s="974"/>
      <c r="P18" s="974"/>
      <c r="Q18" s="974"/>
      <c r="R18" s="974"/>
      <c r="S18" s="974"/>
    </row>
    <row r="19" spans="1:19" s="971" customFormat="1" ht="19.5" customHeight="1" x14ac:dyDescent="0.25">
      <c r="B19" s="1213">
        <v>110000083870</v>
      </c>
      <c r="C19" s="879">
        <v>44895</v>
      </c>
      <c r="D19" s="879">
        <v>45992</v>
      </c>
      <c r="E19" s="880" t="s">
        <v>477</v>
      </c>
      <c r="F19" s="881">
        <v>7806415.6299999999</v>
      </c>
      <c r="G19" s="1214">
        <v>4.2</v>
      </c>
      <c r="H19" s="1319" t="s">
        <v>437</v>
      </c>
      <c r="I19" s="1320"/>
      <c r="J19" s="365">
        <f t="shared" si="0"/>
        <v>327869</v>
      </c>
      <c r="K19" s="1321"/>
      <c r="O19" s="974"/>
      <c r="P19" s="974"/>
      <c r="Q19" s="974"/>
      <c r="R19" s="974"/>
      <c r="S19" s="974"/>
    </row>
    <row r="20" spans="1:19" s="370" customFormat="1" ht="19.5" customHeight="1" x14ac:dyDescent="0.25">
      <c r="A20" s="365"/>
      <c r="B20" s="644">
        <v>110000053315</v>
      </c>
      <c r="C20" s="871">
        <v>42916</v>
      </c>
      <c r="D20" s="871">
        <v>45838</v>
      </c>
      <c r="E20" s="872" t="s">
        <v>383</v>
      </c>
      <c r="F20" s="873">
        <v>130615601.88</v>
      </c>
      <c r="G20" s="1237">
        <v>3.25</v>
      </c>
      <c r="H20" s="1322" t="s">
        <v>375</v>
      </c>
      <c r="I20" s="365" t="s">
        <v>397</v>
      </c>
      <c r="J20" s="365">
        <f t="shared" si="0"/>
        <v>4245007</v>
      </c>
      <c r="K20" s="1323"/>
      <c r="O20" s="374"/>
      <c r="P20" s="374"/>
      <c r="Q20" s="374"/>
      <c r="R20" s="374"/>
      <c r="S20" s="374"/>
    </row>
    <row r="21" spans="1:19" s="370" customFormat="1" ht="19.5" customHeight="1" x14ac:dyDescent="0.25">
      <c r="A21" s="365"/>
      <c r="B21" s="644">
        <v>110000058581</v>
      </c>
      <c r="C21" s="871" t="s">
        <v>398</v>
      </c>
      <c r="D21" s="871" t="s">
        <v>399</v>
      </c>
      <c r="E21" s="872" t="s">
        <v>383</v>
      </c>
      <c r="F21" s="873">
        <v>36500662.579999998</v>
      </c>
      <c r="G21" s="1237">
        <v>3.3</v>
      </c>
      <c r="H21" s="1322" t="s">
        <v>375</v>
      </c>
      <c r="I21" s="365" t="s">
        <v>400</v>
      </c>
      <c r="J21" s="365">
        <f t="shared" si="0"/>
        <v>1204522</v>
      </c>
      <c r="K21" s="1323"/>
      <c r="O21" s="374"/>
      <c r="P21" s="374"/>
      <c r="Q21" s="374"/>
      <c r="R21" s="374"/>
      <c r="S21" s="374"/>
    </row>
    <row r="22" spans="1:19" s="365" customFormat="1" ht="19.5" customHeight="1" x14ac:dyDescent="0.25">
      <c r="B22" s="1213">
        <v>110000084124</v>
      </c>
      <c r="C22" s="880">
        <v>44917</v>
      </c>
      <c r="D22" s="880">
        <v>47840</v>
      </c>
      <c r="E22" s="880" t="s">
        <v>383</v>
      </c>
      <c r="F22" s="873">
        <v>4339644.96</v>
      </c>
      <c r="G22" s="808">
        <v>5.5</v>
      </c>
      <c r="H22" s="1319" t="s">
        <v>437</v>
      </c>
      <c r="I22" s="365" t="s">
        <v>698</v>
      </c>
      <c r="J22" s="365">
        <f t="shared" si="0"/>
        <v>238680</v>
      </c>
      <c r="K22" s="1312"/>
      <c r="O22" s="353"/>
      <c r="P22" s="353"/>
      <c r="Q22" s="353"/>
      <c r="R22" s="353"/>
      <c r="S22" s="353"/>
    </row>
    <row r="23" spans="1:19" s="365" customFormat="1" ht="21" customHeight="1" x14ac:dyDescent="0.25">
      <c r="B23" s="1324" t="s">
        <v>401</v>
      </c>
      <c r="C23" s="1060"/>
      <c r="D23" s="1060"/>
      <c r="E23" s="1230"/>
      <c r="F23" s="1061">
        <f>SUM(F24:F47)</f>
        <v>402106646.75999999</v>
      </c>
      <c r="G23" s="1325"/>
      <c r="H23" s="839"/>
      <c r="J23" s="370">
        <f>SUM(J12:J22)</f>
        <v>17527920</v>
      </c>
      <c r="K23" s="1318">
        <f>J23/F11</f>
        <v>3.1378000000000003E-2</v>
      </c>
      <c r="O23" s="353"/>
      <c r="P23" s="353"/>
      <c r="Q23" s="353"/>
      <c r="R23" s="353"/>
      <c r="S23" s="353"/>
    </row>
    <row r="24" spans="1:19" s="392" customFormat="1" ht="21" hidden="1" customHeight="1" x14ac:dyDescent="0.25">
      <c r="B24" s="806"/>
      <c r="C24" s="879"/>
      <c r="D24" s="879"/>
      <c r="E24" s="880"/>
      <c r="F24" s="881"/>
      <c r="G24" s="808"/>
      <c r="H24" s="1322" t="s">
        <v>375</v>
      </c>
      <c r="I24" s="392" t="s">
        <v>18</v>
      </c>
      <c r="J24" s="365">
        <f t="shared" si="0"/>
        <v>0</v>
      </c>
      <c r="K24" s="1326"/>
      <c r="O24" s="393"/>
      <c r="P24" s="393"/>
      <c r="Q24" s="393"/>
      <c r="R24" s="393"/>
      <c r="S24" s="393"/>
    </row>
    <row r="25" spans="1:19" s="392" customFormat="1" ht="21" hidden="1" customHeight="1" x14ac:dyDescent="0.25">
      <c r="B25" s="806"/>
      <c r="C25" s="879"/>
      <c r="D25" s="879"/>
      <c r="E25" s="880"/>
      <c r="F25" s="881"/>
      <c r="G25" s="808"/>
      <c r="H25" s="1319" t="s">
        <v>437</v>
      </c>
      <c r="I25" s="392" t="s">
        <v>699</v>
      </c>
      <c r="J25" s="365">
        <f t="shared" si="0"/>
        <v>0</v>
      </c>
      <c r="K25" s="1326"/>
      <c r="O25" s="393"/>
      <c r="P25" s="393"/>
      <c r="Q25" s="393"/>
      <c r="R25" s="393"/>
      <c r="S25" s="393"/>
    </row>
    <row r="26" spans="1:19" s="386" customFormat="1" ht="21" customHeight="1" x14ac:dyDescent="0.25">
      <c r="A26" s="392"/>
      <c r="B26" s="644" t="s">
        <v>442</v>
      </c>
      <c r="C26" s="871">
        <v>42599</v>
      </c>
      <c r="D26" s="871">
        <v>45155</v>
      </c>
      <c r="E26" s="872" t="s">
        <v>381</v>
      </c>
      <c r="F26" s="873">
        <v>10275434.09</v>
      </c>
      <c r="G26" s="649">
        <v>4.8</v>
      </c>
      <c r="H26" s="1322" t="s">
        <v>375</v>
      </c>
      <c r="I26" s="392"/>
      <c r="J26" s="365">
        <f t="shared" si="0"/>
        <v>493221</v>
      </c>
      <c r="K26" s="1327"/>
      <c r="O26" s="604"/>
      <c r="P26" s="604"/>
      <c r="Q26" s="604"/>
      <c r="R26" s="604"/>
      <c r="S26" s="604"/>
    </row>
    <row r="27" spans="1:19" s="579" customFormat="1" ht="21" customHeight="1" x14ac:dyDescent="0.25">
      <c r="B27" s="806" t="s">
        <v>443</v>
      </c>
      <c r="C27" s="879">
        <v>42250</v>
      </c>
      <c r="D27" s="879">
        <v>45170</v>
      </c>
      <c r="E27" s="880" t="s">
        <v>383</v>
      </c>
      <c r="F27" s="881">
        <v>41978090.93</v>
      </c>
      <c r="G27" s="808">
        <v>4.875</v>
      </c>
      <c r="H27" s="1322" t="s">
        <v>375</v>
      </c>
      <c r="I27" s="392"/>
      <c r="J27" s="365">
        <f t="shared" si="0"/>
        <v>2046432</v>
      </c>
      <c r="K27" s="1328"/>
      <c r="O27" s="581"/>
      <c r="P27" s="581"/>
      <c r="Q27" s="581"/>
      <c r="R27" s="581"/>
      <c r="S27" s="581"/>
    </row>
    <row r="28" spans="1:19" s="392" customFormat="1" ht="21" customHeight="1" x14ac:dyDescent="0.25">
      <c r="B28" s="806" t="s">
        <v>445</v>
      </c>
      <c r="C28" s="879">
        <v>42277</v>
      </c>
      <c r="D28" s="879">
        <v>45197</v>
      </c>
      <c r="E28" s="880" t="s">
        <v>383</v>
      </c>
      <c r="F28" s="881">
        <v>11110167.27</v>
      </c>
      <c r="G28" s="808">
        <v>4.9000000000000004</v>
      </c>
      <c r="H28" s="1322" t="s">
        <v>375</v>
      </c>
      <c r="J28" s="365">
        <f t="shared" si="0"/>
        <v>544398</v>
      </c>
      <c r="K28" s="1326"/>
      <c r="O28" s="393"/>
      <c r="P28" s="393"/>
      <c r="Q28" s="393"/>
      <c r="R28" s="393"/>
      <c r="S28" s="393"/>
    </row>
    <row r="29" spans="1:19" s="579" customFormat="1" ht="21" customHeight="1" x14ac:dyDescent="0.25">
      <c r="B29" s="644" t="s">
        <v>446</v>
      </c>
      <c r="C29" s="871">
        <v>43340</v>
      </c>
      <c r="D29" s="872">
        <v>45530</v>
      </c>
      <c r="E29" s="872" t="s">
        <v>379</v>
      </c>
      <c r="F29" s="873">
        <v>8254649.3200000003</v>
      </c>
      <c r="G29" s="649">
        <v>4.875</v>
      </c>
      <c r="H29" s="1322" t="s">
        <v>375</v>
      </c>
      <c r="I29" s="392" t="s">
        <v>447</v>
      </c>
      <c r="J29" s="365">
        <f t="shared" si="0"/>
        <v>402414</v>
      </c>
      <c r="K29" s="1328"/>
      <c r="N29" s="581"/>
      <c r="O29" s="581"/>
      <c r="P29" s="581"/>
      <c r="Q29" s="581"/>
      <c r="R29" s="581"/>
    </row>
    <row r="30" spans="1:19" s="386" customFormat="1" ht="21" customHeight="1" x14ac:dyDescent="0.25">
      <c r="A30" s="392"/>
      <c r="B30" s="644" t="s">
        <v>448</v>
      </c>
      <c r="C30" s="871">
        <v>43017</v>
      </c>
      <c r="D30" s="872">
        <v>45574</v>
      </c>
      <c r="E30" s="872" t="s">
        <v>381</v>
      </c>
      <c r="F30" s="873">
        <v>11837095.42</v>
      </c>
      <c r="G30" s="808">
        <v>4.5</v>
      </c>
      <c r="H30" s="1322" t="s">
        <v>375</v>
      </c>
      <c r="I30" s="392"/>
      <c r="J30" s="365">
        <f t="shared" si="0"/>
        <v>532669</v>
      </c>
      <c r="K30" s="1327"/>
      <c r="O30" s="604"/>
      <c r="P30" s="604"/>
      <c r="Q30" s="604"/>
      <c r="R30" s="604"/>
      <c r="S30" s="604"/>
    </row>
    <row r="31" spans="1:19" s="386" customFormat="1" ht="21" customHeight="1" x14ac:dyDescent="0.25">
      <c r="A31" s="392"/>
      <c r="B31" s="644" t="s">
        <v>449</v>
      </c>
      <c r="C31" s="871">
        <v>43511</v>
      </c>
      <c r="D31" s="872">
        <v>45702</v>
      </c>
      <c r="E31" s="872" t="s">
        <v>379</v>
      </c>
      <c r="F31" s="873">
        <v>40953267.450000003</v>
      </c>
      <c r="G31" s="808">
        <v>5</v>
      </c>
      <c r="H31" s="1322" t="s">
        <v>375</v>
      </c>
      <c r="I31" s="392"/>
      <c r="J31" s="365">
        <f t="shared" si="0"/>
        <v>2047663</v>
      </c>
      <c r="K31" s="1327"/>
      <c r="O31" s="604"/>
      <c r="P31" s="604"/>
      <c r="Q31" s="604"/>
      <c r="R31" s="604"/>
      <c r="S31" s="604"/>
    </row>
    <row r="32" spans="1:19" s="579" customFormat="1" ht="21" customHeight="1" x14ac:dyDescent="0.25">
      <c r="B32" s="1329" t="s">
        <v>450</v>
      </c>
      <c r="C32" s="871">
        <v>43434</v>
      </c>
      <c r="D32" s="871">
        <v>45988</v>
      </c>
      <c r="E32" s="872" t="s">
        <v>381</v>
      </c>
      <c r="F32" s="873">
        <v>12660000</v>
      </c>
      <c r="G32" s="649">
        <v>5.125</v>
      </c>
      <c r="H32" s="1322" t="s">
        <v>375</v>
      </c>
      <c r="I32" s="392" t="s">
        <v>451</v>
      </c>
      <c r="J32" s="365">
        <f t="shared" si="0"/>
        <v>648825</v>
      </c>
      <c r="K32" s="1328"/>
      <c r="O32" s="581"/>
      <c r="P32" s="581"/>
      <c r="Q32" s="581"/>
      <c r="R32" s="581"/>
      <c r="S32" s="581"/>
    </row>
    <row r="33" spans="2:19" s="579" customFormat="1" ht="21" customHeight="1" x14ac:dyDescent="0.25">
      <c r="B33" s="644" t="s">
        <v>452</v>
      </c>
      <c r="C33" s="871">
        <v>43452</v>
      </c>
      <c r="D33" s="871">
        <v>46007</v>
      </c>
      <c r="E33" s="872" t="s">
        <v>381</v>
      </c>
      <c r="F33" s="873">
        <v>8065285.2000000002</v>
      </c>
      <c r="G33" s="649">
        <v>5.125</v>
      </c>
      <c r="H33" s="1322" t="s">
        <v>375</v>
      </c>
      <c r="I33" s="391" t="s">
        <v>453</v>
      </c>
      <c r="J33" s="365">
        <f t="shared" si="0"/>
        <v>413346</v>
      </c>
      <c r="K33" s="1328"/>
      <c r="O33" s="581"/>
      <c r="P33" s="581"/>
      <c r="Q33" s="581"/>
      <c r="R33" s="581"/>
      <c r="S33" s="581"/>
    </row>
    <row r="34" spans="2:19" s="579" customFormat="1" ht="21" customHeight="1" x14ac:dyDescent="0.25">
      <c r="B34" s="644" t="s">
        <v>454</v>
      </c>
      <c r="C34" s="871">
        <v>43815</v>
      </c>
      <c r="D34" s="871">
        <v>46370</v>
      </c>
      <c r="E34" s="872" t="s">
        <v>381</v>
      </c>
      <c r="F34" s="873">
        <v>4618825.3099999996</v>
      </c>
      <c r="G34" s="649">
        <v>4.25</v>
      </c>
      <c r="H34" s="1322" t="s">
        <v>375</v>
      </c>
      <c r="I34" s="608" t="s">
        <v>409</v>
      </c>
      <c r="J34" s="365">
        <f t="shared" si="0"/>
        <v>196300</v>
      </c>
      <c r="K34" s="1328"/>
      <c r="O34" s="581"/>
      <c r="P34" s="581"/>
      <c r="Q34" s="581"/>
      <c r="R34" s="581"/>
      <c r="S34" s="581"/>
    </row>
    <row r="35" spans="2:19" s="609" customFormat="1" ht="21" customHeight="1" x14ac:dyDescent="0.25">
      <c r="B35" s="644" t="s">
        <v>455</v>
      </c>
      <c r="C35" s="871">
        <v>44075</v>
      </c>
      <c r="D35" s="871">
        <v>46629</v>
      </c>
      <c r="E35" s="872" t="s">
        <v>381</v>
      </c>
      <c r="F35" s="873">
        <v>123965.58</v>
      </c>
      <c r="G35" s="649">
        <v>3.53</v>
      </c>
      <c r="H35" s="1322" t="s">
        <v>375</v>
      </c>
      <c r="I35" s="610"/>
      <c r="J35" s="365">
        <f t="shared" si="0"/>
        <v>4376</v>
      </c>
      <c r="K35" s="1330"/>
      <c r="O35" s="611"/>
      <c r="P35" s="611"/>
      <c r="Q35" s="611"/>
      <c r="R35" s="611"/>
      <c r="S35" s="611"/>
    </row>
    <row r="36" spans="2:19" s="612" customFormat="1" ht="21" customHeight="1" x14ac:dyDescent="0.25">
      <c r="B36" s="644" t="s">
        <v>456</v>
      </c>
      <c r="C36" s="871">
        <v>43815</v>
      </c>
      <c r="D36" s="871">
        <v>46735</v>
      </c>
      <c r="E36" s="872" t="s">
        <v>383</v>
      </c>
      <c r="F36" s="873">
        <v>25000000</v>
      </c>
      <c r="G36" s="649">
        <v>4.375</v>
      </c>
      <c r="H36" s="1322" t="s">
        <v>375</v>
      </c>
      <c r="I36" s="608" t="s">
        <v>409</v>
      </c>
      <c r="J36" s="365">
        <f t="shared" si="0"/>
        <v>1093750</v>
      </c>
      <c r="K36" s="1331"/>
      <c r="O36" s="613"/>
      <c r="P36" s="613"/>
      <c r="Q36" s="613"/>
      <c r="R36" s="613"/>
      <c r="S36" s="613"/>
    </row>
    <row r="37" spans="2:19" s="855" customFormat="1" ht="21" customHeight="1" x14ac:dyDescent="0.25">
      <c r="B37" s="806" t="s">
        <v>564</v>
      </c>
      <c r="C37" s="879">
        <v>44799</v>
      </c>
      <c r="D37" s="879">
        <v>46989</v>
      </c>
      <c r="E37" s="880" t="s">
        <v>379</v>
      </c>
      <c r="F37" s="881">
        <v>2165000</v>
      </c>
      <c r="G37" s="808">
        <v>4.125</v>
      </c>
      <c r="H37" s="1332" t="s">
        <v>437</v>
      </c>
      <c r="I37" s="860"/>
      <c r="J37" s="365">
        <f t="shared" si="0"/>
        <v>89306</v>
      </c>
      <c r="K37" s="1333"/>
      <c r="O37" s="861"/>
      <c r="P37" s="861"/>
      <c r="Q37" s="861"/>
      <c r="R37" s="861"/>
      <c r="S37" s="861"/>
    </row>
    <row r="38" spans="2:19" s="612" customFormat="1" ht="21" customHeight="1" x14ac:dyDescent="0.25">
      <c r="B38" s="644" t="s">
        <v>457</v>
      </c>
      <c r="C38" s="871">
        <v>44075</v>
      </c>
      <c r="D38" s="871">
        <v>46995</v>
      </c>
      <c r="E38" s="872" t="s">
        <v>383</v>
      </c>
      <c r="F38" s="873">
        <v>50000000</v>
      </c>
      <c r="G38" s="649">
        <v>3.55</v>
      </c>
      <c r="H38" s="1322" t="s">
        <v>375</v>
      </c>
      <c r="I38" s="608"/>
      <c r="J38" s="365">
        <f t="shared" si="0"/>
        <v>1775000</v>
      </c>
      <c r="K38" s="1331"/>
      <c r="O38" s="613"/>
      <c r="P38" s="613"/>
      <c r="Q38" s="613"/>
      <c r="R38" s="613"/>
      <c r="S38" s="613"/>
    </row>
    <row r="39" spans="2:19" s="612" customFormat="1" ht="21" customHeight="1" x14ac:dyDescent="0.25">
      <c r="B39" s="644" t="s">
        <v>458</v>
      </c>
      <c r="C39" s="871">
        <v>44676</v>
      </c>
      <c r="D39" s="871">
        <v>47231</v>
      </c>
      <c r="E39" s="872" t="s">
        <v>381</v>
      </c>
      <c r="F39" s="873">
        <v>30000000</v>
      </c>
      <c r="G39" s="649">
        <v>3.125</v>
      </c>
      <c r="H39" s="1322" t="s">
        <v>437</v>
      </c>
      <c r="I39" s="608" t="s">
        <v>459</v>
      </c>
      <c r="J39" s="365">
        <f t="shared" si="0"/>
        <v>937500</v>
      </c>
      <c r="K39" s="1331"/>
      <c r="O39" s="613"/>
      <c r="P39" s="613"/>
      <c r="Q39" s="613"/>
      <c r="R39" s="613"/>
      <c r="S39" s="613"/>
    </row>
    <row r="40" spans="2:19" s="612" customFormat="1" ht="21" customHeight="1" x14ac:dyDescent="0.25">
      <c r="B40" s="644" t="s">
        <v>460</v>
      </c>
      <c r="C40" s="871">
        <v>44726</v>
      </c>
      <c r="D40" s="871">
        <v>47281</v>
      </c>
      <c r="E40" s="872" t="s">
        <v>381</v>
      </c>
      <c r="F40" s="873">
        <v>21000000</v>
      </c>
      <c r="G40" s="649">
        <v>3.95</v>
      </c>
      <c r="H40" s="1322" t="s">
        <v>437</v>
      </c>
      <c r="I40" s="608"/>
      <c r="J40" s="365">
        <f t="shared" si="0"/>
        <v>829500</v>
      </c>
      <c r="K40" s="1331"/>
      <c r="O40" s="613"/>
      <c r="P40" s="613"/>
      <c r="Q40" s="613"/>
      <c r="R40" s="613"/>
      <c r="S40" s="613"/>
    </row>
    <row r="41" spans="2:19" s="855" customFormat="1" ht="21" customHeight="1" x14ac:dyDescent="0.25">
      <c r="B41" s="806" t="s">
        <v>565</v>
      </c>
      <c r="C41" s="879">
        <v>44799</v>
      </c>
      <c r="D41" s="879">
        <v>47354</v>
      </c>
      <c r="E41" s="880" t="s">
        <v>381</v>
      </c>
      <c r="F41" s="881">
        <v>2165000</v>
      </c>
      <c r="G41" s="808">
        <v>4.25</v>
      </c>
      <c r="H41" s="1332"/>
      <c r="I41" s="860"/>
      <c r="J41" s="365">
        <f t="shared" si="0"/>
        <v>92013</v>
      </c>
      <c r="K41" s="1333"/>
      <c r="O41" s="861"/>
      <c r="P41" s="861"/>
      <c r="Q41" s="861"/>
      <c r="R41" s="861"/>
      <c r="S41" s="861"/>
    </row>
    <row r="42" spans="2:19" s="612" customFormat="1" ht="21" customHeight="1" x14ac:dyDescent="0.25">
      <c r="B42" s="644" t="s">
        <v>461</v>
      </c>
      <c r="C42" s="871">
        <v>44260</v>
      </c>
      <c r="D42" s="871">
        <v>47547</v>
      </c>
      <c r="E42" s="872" t="s">
        <v>462</v>
      </c>
      <c r="F42" s="873">
        <v>25000000</v>
      </c>
      <c r="G42" s="649">
        <v>3</v>
      </c>
      <c r="H42" s="1322" t="s">
        <v>437</v>
      </c>
      <c r="I42" s="610" t="s">
        <v>463</v>
      </c>
      <c r="J42" s="365">
        <f t="shared" si="0"/>
        <v>750000</v>
      </c>
      <c r="K42" s="1331"/>
      <c r="O42" s="613"/>
      <c r="P42" s="613"/>
      <c r="Q42" s="613"/>
      <c r="R42" s="613"/>
      <c r="S42" s="613"/>
    </row>
    <row r="43" spans="2:19" s="612" customFormat="1" ht="21" customHeight="1" x14ac:dyDescent="0.25">
      <c r="B43" s="806" t="s">
        <v>700</v>
      </c>
      <c r="C43" s="879">
        <v>44995</v>
      </c>
      <c r="D43" s="879">
        <v>47918</v>
      </c>
      <c r="E43" s="880" t="s">
        <v>383</v>
      </c>
      <c r="F43" s="881">
        <v>50000000</v>
      </c>
      <c r="G43" s="808">
        <v>5.55</v>
      </c>
      <c r="H43" s="1322"/>
      <c r="I43" s="610"/>
      <c r="J43" s="365">
        <f t="shared" si="0"/>
        <v>2775000</v>
      </c>
      <c r="K43" s="1331"/>
      <c r="O43" s="613"/>
      <c r="P43" s="613"/>
      <c r="Q43" s="613"/>
      <c r="R43" s="613"/>
      <c r="S43" s="613"/>
    </row>
    <row r="44" spans="2:19" s="612" customFormat="1" ht="21" customHeight="1" x14ac:dyDescent="0.25">
      <c r="B44" s="644" t="s">
        <v>464</v>
      </c>
      <c r="C44" s="871">
        <v>44676</v>
      </c>
      <c r="D44" s="871">
        <v>47596</v>
      </c>
      <c r="E44" s="872" t="s">
        <v>383</v>
      </c>
      <c r="F44" s="873">
        <v>20000000</v>
      </c>
      <c r="G44" s="649">
        <v>3.25</v>
      </c>
      <c r="H44" s="1322" t="s">
        <v>437</v>
      </c>
      <c r="I44" s="608" t="s">
        <v>459</v>
      </c>
      <c r="J44" s="365">
        <f t="shared" si="0"/>
        <v>650000</v>
      </c>
      <c r="K44" s="1331"/>
      <c r="O44" s="613"/>
      <c r="P44" s="613"/>
      <c r="Q44" s="613"/>
      <c r="R44" s="613"/>
      <c r="S44" s="613"/>
    </row>
    <row r="45" spans="2:19" s="855" customFormat="1" ht="21" customHeight="1" x14ac:dyDescent="0.25">
      <c r="B45" s="806" t="s">
        <v>566</v>
      </c>
      <c r="C45" s="879">
        <v>44799</v>
      </c>
      <c r="D45" s="879">
        <v>47721</v>
      </c>
      <c r="E45" s="880" t="s">
        <v>383</v>
      </c>
      <c r="F45" s="881">
        <v>2162267.63</v>
      </c>
      <c r="G45" s="808">
        <v>4.5</v>
      </c>
      <c r="H45" s="1322" t="s">
        <v>437</v>
      </c>
      <c r="I45" s="860"/>
      <c r="J45" s="365">
        <f t="shared" si="0"/>
        <v>97302</v>
      </c>
      <c r="K45" s="1333"/>
      <c r="O45" s="861"/>
      <c r="P45" s="861"/>
      <c r="Q45" s="861"/>
      <c r="R45" s="861"/>
      <c r="S45" s="861"/>
    </row>
    <row r="46" spans="2:19" s="855" customFormat="1" ht="21" customHeight="1" x14ac:dyDescent="0.25">
      <c r="B46" s="806" t="s">
        <v>701</v>
      </c>
      <c r="C46" s="879">
        <v>44995</v>
      </c>
      <c r="D46" s="879">
        <v>46820</v>
      </c>
      <c r="E46" s="880" t="s">
        <v>376</v>
      </c>
      <c r="F46" s="881">
        <v>16237598.560000001</v>
      </c>
      <c r="G46" s="808">
        <v>5.15</v>
      </c>
      <c r="H46" s="1322"/>
      <c r="I46" s="860"/>
      <c r="J46" s="365">
        <f t="shared" si="0"/>
        <v>836236</v>
      </c>
      <c r="K46" s="1333"/>
      <c r="O46" s="861"/>
      <c r="P46" s="861"/>
      <c r="Q46" s="861"/>
      <c r="R46" s="861"/>
      <c r="S46" s="861"/>
    </row>
    <row r="47" spans="2:19" s="609" customFormat="1" ht="21" customHeight="1" x14ac:dyDescent="0.25">
      <c r="B47" s="644" t="s">
        <v>465</v>
      </c>
      <c r="C47" s="871">
        <v>44676</v>
      </c>
      <c r="D47" s="871">
        <v>47961</v>
      </c>
      <c r="E47" s="872" t="s">
        <v>462</v>
      </c>
      <c r="F47" s="873">
        <v>8500000</v>
      </c>
      <c r="G47" s="649">
        <v>3.375</v>
      </c>
      <c r="H47" s="1322" t="s">
        <v>437</v>
      </c>
      <c r="I47" s="610" t="s">
        <v>459</v>
      </c>
      <c r="J47" s="365">
        <f t="shared" si="0"/>
        <v>286875</v>
      </c>
      <c r="K47" s="1330"/>
      <c r="O47" s="611"/>
      <c r="P47" s="611"/>
      <c r="Q47" s="611"/>
      <c r="R47" s="611"/>
      <c r="S47" s="611"/>
    </row>
    <row r="48" spans="2:19" s="365" customFormat="1" ht="21" customHeight="1" x14ac:dyDescent="0.25">
      <c r="B48" s="1334" t="s">
        <v>423</v>
      </c>
      <c r="C48" s="1289"/>
      <c r="D48" s="1289"/>
      <c r="E48" s="1335"/>
      <c r="F48" s="1336">
        <f>SUM(F49:F50)</f>
        <v>63000000</v>
      </c>
      <c r="G48" s="1235"/>
      <c r="H48" s="839"/>
      <c r="J48" s="370">
        <f>SUM(J26:J47)</f>
        <v>17542126</v>
      </c>
      <c r="K48" s="1318">
        <f>J48/F23</f>
        <v>4.3625999999999998E-2</v>
      </c>
      <c r="O48" s="353"/>
      <c r="P48" s="353"/>
      <c r="Q48" s="353"/>
      <c r="R48" s="353"/>
      <c r="S48" s="353"/>
    </row>
    <row r="49" spans="1:19" s="365" customFormat="1" ht="21" customHeight="1" x14ac:dyDescent="0.25">
      <c r="A49" s="519"/>
      <c r="B49" s="1337">
        <v>50401000670</v>
      </c>
      <c r="C49" s="880">
        <v>44802</v>
      </c>
      <c r="D49" s="880">
        <v>46262</v>
      </c>
      <c r="E49" s="1338" t="s">
        <v>408</v>
      </c>
      <c r="F49" s="881">
        <v>31500000</v>
      </c>
      <c r="G49" s="808">
        <v>4.7</v>
      </c>
      <c r="H49" s="1322" t="s">
        <v>437</v>
      </c>
      <c r="J49" s="365">
        <f t="shared" si="0"/>
        <v>1480500</v>
      </c>
      <c r="K49" s="1312"/>
      <c r="N49" s="365">
        <f>F48+F51+F55</f>
        <v>157500000</v>
      </c>
      <c r="O49" s="353"/>
      <c r="P49" s="353"/>
      <c r="Q49" s="353"/>
      <c r="R49" s="353"/>
      <c r="S49" s="353"/>
    </row>
    <row r="50" spans="1:19" s="365" customFormat="1" ht="21" customHeight="1" x14ac:dyDescent="0.25">
      <c r="A50" s="519"/>
      <c r="B50" s="1337">
        <v>50401000686</v>
      </c>
      <c r="C50" s="880">
        <v>44802</v>
      </c>
      <c r="D50" s="880">
        <v>46627</v>
      </c>
      <c r="E50" s="1338" t="s">
        <v>376</v>
      </c>
      <c r="F50" s="881">
        <v>31500000</v>
      </c>
      <c r="G50" s="808">
        <v>4.8</v>
      </c>
      <c r="H50" s="1322" t="s">
        <v>437</v>
      </c>
      <c r="J50" s="365">
        <f t="shared" si="0"/>
        <v>1512000</v>
      </c>
      <c r="K50" s="1312"/>
      <c r="O50" s="353"/>
      <c r="P50" s="353"/>
      <c r="Q50" s="353"/>
      <c r="R50" s="353"/>
      <c r="S50" s="353"/>
    </row>
    <row r="51" spans="1:19" s="365" customFormat="1" ht="21" customHeight="1" x14ac:dyDescent="0.25">
      <c r="B51" s="1334" t="s">
        <v>567</v>
      </c>
      <c r="C51" s="1289"/>
      <c r="D51" s="1289"/>
      <c r="E51" s="1335"/>
      <c r="F51" s="1336">
        <f>SUM(F52:F54)</f>
        <v>63000000</v>
      </c>
      <c r="G51" s="1235"/>
      <c r="H51" s="839"/>
      <c r="K51" s="1312"/>
      <c r="O51" s="353"/>
      <c r="P51" s="353"/>
      <c r="Q51" s="353"/>
      <c r="R51" s="353"/>
      <c r="S51" s="353"/>
    </row>
    <row r="52" spans="1:19" s="365" customFormat="1" ht="21" customHeight="1" x14ac:dyDescent="0.25">
      <c r="A52" s="519"/>
      <c r="B52" s="644">
        <v>130020000610160</v>
      </c>
      <c r="C52" s="871">
        <v>44803</v>
      </c>
      <c r="D52" s="871">
        <v>45898</v>
      </c>
      <c r="E52" s="872" t="s">
        <v>477</v>
      </c>
      <c r="F52" s="873">
        <v>21000000</v>
      </c>
      <c r="G52" s="874">
        <v>4.0999999999999996</v>
      </c>
      <c r="H52" s="1322" t="s">
        <v>437</v>
      </c>
      <c r="J52" s="365">
        <f t="shared" si="0"/>
        <v>861000</v>
      </c>
      <c r="K52" s="1312"/>
      <c r="O52" s="353"/>
      <c r="P52" s="353"/>
      <c r="Q52" s="353"/>
      <c r="R52" s="353"/>
      <c r="S52" s="353"/>
    </row>
    <row r="53" spans="1:19" s="365" customFormat="1" ht="21" customHeight="1" x14ac:dyDescent="0.25">
      <c r="A53" s="519"/>
      <c r="B53" s="644">
        <v>130020000610112</v>
      </c>
      <c r="C53" s="871">
        <v>44803</v>
      </c>
      <c r="D53" s="871">
        <v>46265</v>
      </c>
      <c r="E53" s="872" t="s">
        <v>408</v>
      </c>
      <c r="F53" s="873">
        <v>21000000</v>
      </c>
      <c r="G53" s="874">
        <v>4.5</v>
      </c>
      <c r="H53" s="1322" t="s">
        <v>437</v>
      </c>
      <c r="J53" s="365">
        <f t="shared" si="0"/>
        <v>945000</v>
      </c>
      <c r="K53" s="1312"/>
      <c r="O53" s="353"/>
      <c r="P53" s="353"/>
      <c r="Q53" s="353"/>
      <c r="R53" s="353"/>
      <c r="S53" s="353"/>
    </row>
    <row r="54" spans="1:19" s="365" customFormat="1" ht="21" customHeight="1" x14ac:dyDescent="0.25">
      <c r="A54" s="519"/>
      <c r="B54" s="644">
        <v>130020000610110</v>
      </c>
      <c r="C54" s="871">
        <v>44803</v>
      </c>
      <c r="D54" s="871">
        <v>46629</v>
      </c>
      <c r="E54" s="872" t="s">
        <v>376</v>
      </c>
      <c r="F54" s="873">
        <v>21000000</v>
      </c>
      <c r="G54" s="874">
        <v>5</v>
      </c>
      <c r="H54" s="1322" t="s">
        <v>437</v>
      </c>
      <c r="J54" s="365">
        <f t="shared" si="0"/>
        <v>1050000</v>
      </c>
      <c r="K54" s="1312"/>
      <c r="O54" s="353"/>
      <c r="P54" s="353"/>
      <c r="Q54" s="353"/>
      <c r="R54" s="353"/>
      <c r="S54" s="353"/>
    </row>
    <row r="55" spans="1:19" s="365" customFormat="1" ht="21" customHeight="1" x14ac:dyDescent="0.25">
      <c r="A55" s="519"/>
      <c r="B55" s="1334" t="s">
        <v>568</v>
      </c>
      <c r="C55" s="1289"/>
      <c r="D55" s="1289"/>
      <c r="E55" s="1335"/>
      <c r="F55" s="1336">
        <f>F56</f>
        <v>31500000</v>
      </c>
      <c r="G55" s="1235"/>
      <c r="H55" s="839"/>
      <c r="K55" s="1312"/>
      <c r="O55" s="353"/>
      <c r="P55" s="353"/>
      <c r="Q55" s="353"/>
      <c r="R55" s="353"/>
      <c r="S55" s="353"/>
    </row>
    <row r="56" spans="1:19" s="365" customFormat="1" ht="21" customHeight="1" x14ac:dyDescent="0.25">
      <c r="A56" s="519"/>
      <c r="B56" s="1213">
        <v>258906338</v>
      </c>
      <c r="C56" s="880">
        <v>44777</v>
      </c>
      <c r="D56" s="880">
        <v>45873</v>
      </c>
      <c r="E56" s="880" t="s">
        <v>477</v>
      </c>
      <c r="F56" s="881">
        <v>31500000</v>
      </c>
      <c r="G56" s="808">
        <v>5.25</v>
      </c>
      <c r="H56" s="1322" t="s">
        <v>375</v>
      </c>
      <c r="J56" s="365">
        <f t="shared" si="0"/>
        <v>1653750</v>
      </c>
      <c r="K56" s="1312"/>
      <c r="O56" s="353"/>
      <c r="P56" s="353"/>
      <c r="Q56" s="353"/>
      <c r="R56" s="353"/>
      <c r="S56" s="353"/>
    </row>
    <row r="57" spans="1:19" s="365" customFormat="1" ht="21" customHeight="1" x14ac:dyDescent="0.25">
      <c r="B57" s="1339" t="s">
        <v>284</v>
      </c>
      <c r="C57" s="1335"/>
      <c r="D57" s="1335"/>
      <c r="E57" s="1335"/>
      <c r="F57" s="1336">
        <f>SUM(F58)+F75+F105+F71+F109+F113</f>
        <v>1711261225.55</v>
      </c>
      <c r="G57" s="1235"/>
      <c r="H57" s="839"/>
      <c r="J57" s="370">
        <f>SUM(J49:J56)</f>
        <v>7502250</v>
      </c>
      <c r="K57" s="1318">
        <f>J57/(F48+F51+F55)</f>
        <v>4.7633000000000002E-2</v>
      </c>
      <c r="O57" s="353"/>
      <c r="P57" s="353"/>
      <c r="Q57" s="353"/>
      <c r="R57" s="353"/>
      <c r="S57" s="353"/>
    </row>
    <row r="58" spans="1:19" s="370" customFormat="1" ht="21" customHeight="1" x14ac:dyDescent="0.25">
      <c r="A58" s="365"/>
      <c r="B58" s="1340" t="s">
        <v>372</v>
      </c>
      <c r="C58" s="1335"/>
      <c r="D58" s="1335"/>
      <c r="E58" s="1060"/>
      <c r="F58" s="1341">
        <f>SUM(F59:F69)</f>
        <v>682277014.02999997</v>
      </c>
      <c r="G58" s="1229"/>
      <c r="H58" s="839"/>
      <c r="I58" s="365"/>
      <c r="J58" s="365"/>
      <c r="K58" s="1318"/>
      <c r="O58" s="374"/>
      <c r="P58" s="374"/>
      <c r="Q58" s="374"/>
      <c r="R58" s="374"/>
      <c r="S58" s="374"/>
    </row>
    <row r="59" spans="1:19" s="840" customFormat="1" ht="20.25" customHeight="1" x14ac:dyDescent="0.25">
      <c r="B59" s="1284">
        <v>150000139040</v>
      </c>
      <c r="C59" s="628" t="s">
        <v>673</v>
      </c>
      <c r="D59" s="1315">
        <v>45019</v>
      </c>
      <c r="E59" s="628" t="s">
        <v>674</v>
      </c>
      <c r="F59" s="1254">
        <v>148071788.30000001</v>
      </c>
      <c r="G59" s="1342">
        <v>3</v>
      </c>
      <c r="H59" s="1343"/>
      <c r="I59" s="987"/>
      <c r="J59" s="365">
        <f t="shared" si="0"/>
        <v>4442154</v>
      </c>
      <c r="K59" s="1344"/>
      <c r="O59" s="846"/>
      <c r="P59" s="846"/>
      <c r="Q59" s="846"/>
      <c r="R59" s="846"/>
      <c r="S59" s="846"/>
    </row>
    <row r="60" spans="1:19" s="840" customFormat="1" ht="20.25" customHeight="1" x14ac:dyDescent="0.25">
      <c r="B60" s="1284">
        <v>150000139050</v>
      </c>
      <c r="C60" s="628" t="s">
        <v>673</v>
      </c>
      <c r="D60" s="1315">
        <v>45019</v>
      </c>
      <c r="E60" s="628" t="s">
        <v>674</v>
      </c>
      <c r="F60" s="1254">
        <v>70867157.870000005</v>
      </c>
      <c r="G60" s="1342">
        <v>3</v>
      </c>
      <c r="H60" s="1343"/>
      <c r="I60" s="987"/>
      <c r="J60" s="365">
        <f t="shared" si="0"/>
        <v>2126015</v>
      </c>
      <c r="K60" s="1344"/>
      <c r="O60" s="846"/>
      <c r="P60" s="846"/>
      <c r="Q60" s="846"/>
      <c r="R60" s="846"/>
      <c r="S60" s="846"/>
    </row>
    <row r="61" spans="1:19" s="840" customFormat="1" ht="20.25" customHeight="1" x14ac:dyDescent="0.25">
      <c r="B61" s="1284">
        <v>15000139078</v>
      </c>
      <c r="C61" s="628" t="s">
        <v>673</v>
      </c>
      <c r="D61" s="1315">
        <v>45019</v>
      </c>
      <c r="E61" s="628" t="s">
        <v>674</v>
      </c>
      <c r="F61" s="1254">
        <v>181200000</v>
      </c>
      <c r="G61" s="1342">
        <v>3</v>
      </c>
      <c r="H61" s="1343"/>
      <c r="I61" s="987"/>
      <c r="J61" s="365">
        <f t="shared" si="0"/>
        <v>5436000</v>
      </c>
      <c r="K61" s="1344"/>
      <c r="O61" s="846"/>
      <c r="P61" s="846"/>
      <c r="Q61" s="846"/>
      <c r="R61" s="846"/>
      <c r="S61" s="846"/>
    </row>
    <row r="62" spans="1:19" s="520" customFormat="1" ht="21" customHeight="1" x14ac:dyDescent="0.25">
      <c r="B62" s="1045">
        <v>110000058124</v>
      </c>
      <c r="C62" s="872">
        <v>43150</v>
      </c>
      <c r="D62" s="872">
        <v>45707</v>
      </c>
      <c r="E62" s="872" t="s">
        <v>381</v>
      </c>
      <c r="F62" s="873">
        <v>19953269.760000002</v>
      </c>
      <c r="G62" s="649">
        <v>3.15</v>
      </c>
      <c r="H62" s="1322" t="s">
        <v>375</v>
      </c>
      <c r="I62" s="405" t="s">
        <v>466</v>
      </c>
      <c r="J62" s="365">
        <f t="shared" si="0"/>
        <v>628528</v>
      </c>
      <c r="K62" s="1345"/>
      <c r="O62" s="524"/>
      <c r="P62" s="524"/>
      <c r="Q62" s="524"/>
      <c r="R62" s="524"/>
      <c r="S62" s="524"/>
    </row>
    <row r="63" spans="1:19" s="971" customFormat="1" ht="20.25" customHeight="1" x14ac:dyDescent="0.25">
      <c r="B63" s="1213">
        <v>110000083824</v>
      </c>
      <c r="C63" s="879">
        <v>44895</v>
      </c>
      <c r="D63" s="879">
        <v>45992</v>
      </c>
      <c r="E63" s="880" t="s">
        <v>477</v>
      </c>
      <c r="F63" s="881">
        <v>129016.48</v>
      </c>
      <c r="G63" s="1214">
        <v>4.2</v>
      </c>
      <c r="H63" s="1346" t="s">
        <v>437</v>
      </c>
      <c r="I63" s="869"/>
      <c r="J63" s="365">
        <f t="shared" si="0"/>
        <v>5419</v>
      </c>
      <c r="K63" s="1321"/>
      <c r="O63" s="974"/>
      <c r="P63" s="974"/>
      <c r="Q63" s="974"/>
      <c r="R63" s="974"/>
      <c r="S63" s="974"/>
    </row>
    <row r="64" spans="1:19" s="971" customFormat="1" ht="20.25" customHeight="1" x14ac:dyDescent="0.25">
      <c r="B64" s="1213">
        <v>110000083842</v>
      </c>
      <c r="C64" s="879">
        <v>44895</v>
      </c>
      <c r="D64" s="879">
        <v>45992</v>
      </c>
      <c r="E64" s="880" t="s">
        <v>477</v>
      </c>
      <c r="F64" s="881">
        <v>3207485.94</v>
      </c>
      <c r="G64" s="1214">
        <v>4.2</v>
      </c>
      <c r="H64" s="1346" t="s">
        <v>437</v>
      </c>
      <c r="I64" s="869"/>
      <c r="J64" s="365">
        <f t="shared" si="0"/>
        <v>134714</v>
      </c>
      <c r="K64" s="1321"/>
      <c r="O64" s="974"/>
      <c r="P64" s="974"/>
      <c r="Q64" s="974"/>
      <c r="R64" s="974"/>
      <c r="S64" s="974"/>
    </row>
    <row r="65" spans="1:19" s="971" customFormat="1" ht="20.25" customHeight="1" x14ac:dyDescent="0.25">
      <c r="B65" s="1213">
        <v>110000083790</v>
      </c>
      <c r="C65" s="879">
        <v>44895</v>
      </c>
      <c r="D65" s="879">
        <v>45992</v>
      </c>
      <c r="E65" s="880" t="s">
        <v>477</v>
      </c>
      <c r="F65" s="881">
        <v>26146455.379999999</v>
      </c>
      <c r="G65" s="1214">
        <v>4.2</v>
      </c>
      <c r="H65" s="1346" t="s">
        <v>437</v>
      </c>
      <c r="I65" s="869"/>
      <c r="J65" s="365">
        <f t="shared" si="0"/>
        <v>1098151</v>
      </c>
      <c r="K65" s="1321"/>
      <c r="O65" s="974"/>
      <c r="P65" s="974"/>
      <c r="Q65" s="974"/>
      <c r="R65" s="974"/>
      <c r="S65" s="974"/>
    </row>
    <row r="66" spans="1:19" s="971" customFormat="1" ht="20.25" customHeight="1" x14ac:dyDescent="0.25">
      <c r="B66" s="1213">
        <v>110000083889</v>
      </c>
      <c r="C66" s="879">
        <v>44895</v>
      </c>
      <c r="D66" s="879">
        <v>45992</v>
      </c>
      <c r="E66" s="880" t="s">
        <v>477</v>
      </c>
      <c r="F66" s="881">
        <v>12377716.07</v>
      </c>
      <c r="G66" s="1214">
        <v>4.2</v>
      </c>
      <c r="H66" s="1346" t="s">
        <v>437</v>
      </c>
      <c r="I66" s="869"/>
      <c r="J66" s="365">
        <f t="shared" si="0"/>
        <v>519864</v>
      </c>
      <c r="K66" s="1321"/>
      <c r="O66" s="974"/>
      <c r="P66" s="974"/>
      <c r="Q66" s="974"/>
      <c r="R66" s="974"/>
      <c r="S66" s="974"/>
    </row>
    <row r="67" spans="1:19" s="370" customFormat="1" ht="21" customHeight="1" x14ac:dyDescent="0.25">
      <c r="A67" s="365"/>
      <c r="B67" s="644">
        <v>110000053342</v>
      </c>
      <c r="C67" s="880">
        <v>42916</v>
      </c>
      <c r="D67" s="880">
        <v>45838</v>
      </c>
      <c r="E67" s="872" t="s">
        <v>383</v>
      </c>
      <c r="F67" s="873">
        <v>144492578.03999999</v>
      </c>
      <c r="G67" s="1237">
        <v>3.25</v>
      </c>
      <c r="H67" s="1322" t="s">
        <v>375</v>
      </c>
      <c r="I67" s="365" t="s">
        <v>467</v>
      </c>
      <c r="J67" s="365">
        <f t="shared" si="0"/>
        <v>4696009</v>
      </c>
      <c r="K67" s="1318"/>
      <c r="O67" s="374"/>
      <c r="P67" s="374"/>
      <c r="Q67" s="374"/>
      <c r="R67" s="374"/>
      <c r="S67" s="374"/>
    </row>
    <row r="68" spans="1:19" s="370" customFormat="1" ht="21" customHeight="1" x14ac:dyDescent="0.25">
      <c r="A68" s="365"/>
      <c r="B68" s="644">
        <v>110000058590</v>
      </c>
      <c r="C68" s="880" t="s">
        <v>398</v>
      </c>
      <c r="D68" s="880" t="s">
        <v>399</v>
      </c>
      <c r="E68" s="872" t="s">
        <v>383</v>
      </c>
      <c r="F68" s="873">
        <v>69205517.420000002</v>
      </c>
      <c r="G68" s="1237">
        <v>3.3</v>
      </c>
      <c r="H68" s="1322" t="s">
        <v>375</v>
      </c>
      <c r="I68" s="365" t="s">
        <v>400</v>
      </c>
      <c r="J68" s="365">
        <f t="shared" si="0"/>
        <v>2283782</v>
      </c>
      <c r="K68" s="1318"/>
      <c r="O68" s="374"/>
      <c r="P68" s="374"/>
      <c r="Q68" s="374"/>
      <c r="R68" s="374"/>
      <c r="S68" s="374"/>
    </row>
    <row r="69" spans="1:19" s="370" customFormat="1" ht="21" customHeight="1" x14ac:dyDescent="0.25">
      <c r="A69" s="365"/>
      <c r="B69" s="1213">
        <v>110000084133</v>
      </c>
      <c r="C69" s="880">
        <v>44917</v>
      </c>
      <c r="D69" s="880">
        <v>47840</v>
      </c>
      <c r="E69" s="880" t="s">
        <v>383</v>
      </c>
      <c r="F69" s="873">
        <v>6626028.7699999996</v>
      </c>
      <c r="G69" s="808">
        <v>5.5</v>
      </c>
      <c r="H69" s="1346" t="s">
        <v>437</v>
      </c>
      <c r="I69" s="365" t="s">
        <v>702</v>
      </c>
      <c r="J69" s="365">
        <f t="shared" si="0"/>
        <v>364432</v>
      </c>
      <c r="K69" s="1318"/>
      <c r="O69" s="374"/>
      <c r="P69" s="374"/>
      <c r="Q69" s="374"/>
      <c r="R69" s="374"/>
      <c r="S69" s="374"/>
    </row>
    <row r="70" spans="1:19" s="365" customFormat="1" ht="21" hidden="1" customHeight="1" x14ac:dyDescent="0.25">
      <c r="B70" s="1347" t="s">
        <v>468</v>
      </c>
      <c r="C70" s="1335"/>
      <c r="D70" s="1335"/>
      <c r="E70" s="1335"/>
      <c r="F70" s="1336"/>
      <c r="G70" s="1235"/>
      <c r="H70" s="839"/>
      <c r="J70" s="365">
        <f t="shared" si="0"/>
        <v>0</v>
      </c>
      <c r="K70" s="1312"/>
      <c r="O70" s="353"/>
      <c r="P70" s="353"/>
      <c r="Q70" s="353"/>
      <c r="R70" s="353"/>
      <c r="S70" s="353"/>
    </row>
    <row r="71" spans="1:19" s="370" customFormat="1" ht="21" hidden="1" customHeight="1" x14ac:dyDescent="0.25">
      <c r="A71" s="365"/>
      <c r="B71" s="1340" t="s">
        <v>372</v>
      </c>
      <c r="C71" s="1335"/>
      <c r="D71" s="1335"/>
      <c r="E71" s="1335"/>
      <c r="F71" s="1336">
        <f>SUM(F72:F74)</f>
        <v>0</v>
      </c>
      <c r="G71" s="1235"/>
      <c r="H71" s="839"/>
      <c r="I71" s="365"/>
      <c r="J71" s="365">
        <f t="shared" si="0"/>
        <v>0</v>
      </c>
      <c r="K71" s="1318"/>
      <c r="O71" s="374"/>
      <c r="P71" s="374"/>
      <c r="Q71" s="374"/>
      <c r="R71" s="374"/>
      <c r="S71" s="374"/>
    </row>
    <row r="72" spans="1:19" s="634" customFormat="1" ht="21" hidden="1" customHeight="1" x14ac:dyDescent="0.25">
      <c r="A72" s="624"/>
      <c r="B72" s="806"/>
      <c r="C72" s="880"/>
      <c r="D72" s="880"/>
      <c r="E72" s="880"/>
      <c r="F72" s="873"/>
      <c r="G72" s="1262"/>
      <c r="H72" s="1348" t="s">
        <v>569</v>
      </c>
      <c r="I72" s="633"/>
      <c r="J72" s="365">
        <f t="shared" si="0"/>
        <v>0</v>
      </c>
      <c r="K72" s="1349"/>
      <c r="O72" s="635"/>
      <c r="P72" s="635"/>
      <c r="Q72" s="635"/>
      <c r="R72" s="635"/>
      <c r="S72" s="635"/>
    </row>
    <row r="73" spans="1:19" s="634" customFormat="1" ht="21" hidden="1" customHeight="1" x14ac:dyDescent="0.25">
      <c r="A73" s="624"/>
      <c r="B73" s="806"/>
      <c r="C73" s="880"/>
      <c r="D73" s="880"/>
      <c r="E73" s="880"/>
      <c r="F73" s="873"/>
      <c r="G73" s="1262"/>
      <c r="H73" s="1348" t="s">
        <v>570</v>
      </c>
      <c r="I73" s="633"/>
      <c r="J73" s="365">
        <f t="shared" si="0"/>
        <v>0</v>
      </c>
      <c r="K73" s="1349"/>
      <c r="O73" s="635"/>
      <c r="P73" s="635"/>
      <c r="Q73" s="635"/>
      <c r="R73" s="635"/>
      <c r="S73" s="635"/>
    </row>
    <row r="74" spans="1:19" s="634" customFormat="1" ht="21" hidden="1" customHeight="1" x14ac:dyDescent="0.25">
      <c r="A74" s="624"/>
      <c r="B74" s="806"/>
      <c r="C74" s="880"/>
      <c r="D74" s="880"/>
      <c r="E74" s="880"/>
      <c r="F74" s="873"/>
      <c r="G74" s="1262"/>
      <c r="H74" s="1348" t="s">
        <v>571</v>
      </c>
      <c r="I74" s="633"/>
      <c r="J74" s="365">
        <f t="shared" si="0"/>
        <v>0</v>
      </c>
      <c r="K74" s="1349"/>
      <c r="O74" s="635"/>
      <c r="P74" s="635"/>
      <c r="Q74" s="635"/>
      <c r="R74" s="635"/>
      <c r="S74" s="635"/>
    </row>
    <row r="75" spans="1:19" s="365" customFormat="1" ht="21" customHeight="1" x14ac:dyDescent="0.25">
      <c r="A75" s="638"/>
      <c r="B75" s="1334" t="s">
        <v>401</v>
      </c>
      <c r="C75" s="1289"/>
      <c r="D75" s="1289"/>
      <c r="E75" s="1335"/>
      <c r="F75" s="1336">
        <f>SUM(F76:F104)</f>
        <v>738202618.50999999</v>
      </c>
      <c r="G75" s="1235"/>
      <c r="H75" s="839"/>
      <c r="J75" s="370">
        <f>SUM(J59:J74)</f>
        <v>21735068</v>
      </c>
      <c r="K75" s="1318">
        <f>J75/F58</f>
        <v>3.1857000000000003E-2</v>
      </c>
      <c r="O75" s="353"/>
      <c r="P75" s="353"/>
      <c r="Q75" s="353"/>
      <c r="R75" s="353"/>
      <c r="S75" s="353"/>
    </row>
    <row r="76" spans="1:19" s="365" customFormat="1" ht="21" hidden="1" customHeight="1" x14ac:dyDescent="0.25">
      <c r="B76" s="644"/>
      <c r="C76" s="871"/>
      <c r="D76" s="871"/>
      <c r="E76" s="872"/>
      <c r="F76" s="873"/>
      <c r="G76" s="649"/>
      <c r="H76" s="1322" t="s">
        <v>375</v>
      </c>
      <c r="J76" s="365">
        <f t="shared" si="0"/>
        <v>0</v>
      </c>
      <c r="K76" s="1312"/>
      <c r="O76" s="353"/>
      <c r="P76" s="353"/>
      <c r="Q76" s="353"/>
      <c r="R76" s="353"/>
      <c r="S76" s="353"/>
    </row>
    <row r="77" spans="1:19" s="971" customFormat="1" ht="20.25" hidden="1" customHeight="1" x14ac:dyDescent="0.25">
      <c r="B77" s="806"/>
      <c r="C77" s="879"/>
      <c r="D77" s="879"/>
      <c r="E77" s="880"/>
      <c r="F77" s="881"/>
      <c r="G77" s="808"/>
      <c r="H77" s="1319" t="s">
        <v>437</v>
      </c>
      <c r="I77" s="392" t="s">
        <v>699</v>
      </c>
      <c r="J77" s="365">
        <f t="shared" ref="J77:J114" si="1">F77*G77/100</f>
        <v>0</v>
      </c>
      <c r="K77" s="1321"/>
      <c r="O77" s="974"/>
      <c r="P77" s="974"/>
      <c r="Q77" s="974"/>
      <c r="R77" s="974"/>
      <c r="S77" s="974"/>
    </row>
    <row r="78" spans="1:19" s="370" customFormat="1" ht="21" customHeight="1" x14ac:dyDescent="0.25">
      <c r="A78" s="365"/>
      <c r="B78" s="644" t="s">
        <v>475</v>
      </c>
      <c r="C78" s="871">
        <v>42599</v>
      </c>
      <c r="D78" s="871">
        <v>45155</v>
      </c>
      <c r="E78" s="872" t="s">
        <v>381</v>
      </c>
      <c r="F78" s="873">
        <v>22277530.09</v>
      </c>
      <c r="G78" s="649">
        <v>4.8</v>
      </c>
      <c r="H78" s="1322" t="s">
        <v>375</v>
      </c>
      <c r="I78" s="365"/>
      <c r="J78" s="365">
        <f t="shared" si="1"/>
        <v>1069321</v>
      </c>
      <c r="K78" s="1318"/>
      <c r="O78" s="374"/>
      <c r="P78" s="374"/>
      <c r="Q78" s="374"/>
      <c r="R78" s="374"/>
      <c r="S78" s="374"/>
    </row>
    <row r="79" spans="1:19" s="641" customFormat="1" ht="21" customHeight="1" x14ac:dyDescent="0.25">
      <c r="A79" s="640"/>
      <c r="B79" s="644" t="s">
        <v>476</v>
      </c>
      <c r="C79" s="871">
        <v>44075</v>
      </c>
      <c r="D79" s="871">
        <v>45168</v>
      </c>
      <c r="E79" s="872" t="s">
        <v>477</v>
      </c>
      <c r="F79" s="873">
        <v>333183.59999999998</v>
      </c>
      <c r="G79" s="649">
        <v>3</v>
      </c>
      <c r="H79" s="1322" t="s">
        <v>375</v>
      </c>
      <c r="I79" s="640"/>
      <c r="J79" s="365">
        <f t="shared" si="1"/>
        <v>9996</v>
      </c>
      <c r="K79" s="1350"/>
      <c r="O79" s="642"/>
      <c r="P79" s="642"/>
      <c r="Q79" s="642"/>
      <c r="R79" s="642"/>
      <c r="S79" s="642"/>
    </row>
    <row r="80" spans="1:19" s="520" customFormat="1" ht="21" customHeight="1" x14ac:dyDescent="0.25">
      <c r="B80" s="806" t="s">
        <v>478</v>
      </c>
      <c r="C80" s="879">
        <v>42277</v>
      </c>
      <c r="D80" s="879">
        <v>45197</v>
      </c>
      <c r="E80" s="880" t="s">
        <v>383</v>
      </c>
      <c r="F80" s="881">
        <v>19194586.809999999</v>
      </c>
      <c r="G80" s="808">
        <v>4.9000000000000004</v>
      </c>
      <c r="H80" s="1322" t="s">
        <v>375</v>
      </c>
      <c r="I80" s="365"/>
      <c r="J80" s="365">
        <f t="shared" si="1"/>
        <v>940535</v>
      </c>
      <c r="K80" s="1345"/>
      <c r="O80" s="524"/>
      <c r="P80" s="524"/>
      <c r="Q80" s="524"/>
      <c r="R80" s="524"/>
      <c r="S80" s="524"/>
    </row>
    <row r="81" spans="1:19" s="365" customFormat="1" ht="21" customHeight="1" x14ac:dyDescent="0.25">
      <c r="B81" s="644" t="s">
        <v>415</v>
      </c>
      <c r="C81" s="871">
        <v>43318</v>
      </c>
      <c r="D81" s="871">
        <v>45509</v>
      </c>
      <c r="E81" s="872" t="s">
        <v>379</v>
      </c>
      <c r="F81" s="873">
        <v>36000000</v>
      </c>
      <c r="G81" s="808">
        <v>4.875</v>
      </c>
      <c r="H81" s="1322" t="s">
        <v>375</v>
      </c>
      <c r="I81" s="365" t="s">
        <v>472</v>
      </c>
      <c r="J81" s="365">
        <f t="shared" si="1"/>
        <v>1755000</v>
      </c>
      <c r="K81" s="1312"/>
      <c r="O81" s="353"/>
      <c r="P81" s="353"/>
      <c r="Q81" s="353"/>
      <c r="R81" s="353"/>
      <c r="S81" s="353"/>
    </row>
    <row r="82" spans="1:19" s="520" customFormat="1" ht="21" customHeight="1" x14ac:dyDescent="0.25">
      <c r="B82" s="644" t="s">
        <v>479</v>
      </c>
      <c r="C82" s="871">
        <v>43340</v>
      </c>
      <c r="D82" s="872">
        <v>45530</v>
      </c>
      <c r="E82" s="872" t="s">
        <v>379</v>
      </c>
      <c r="F82" s="873">
        <v>10971068.67</v>
      </c>
      <c r="G82" s="649">
        <v>4.875</v>
      </c>
      <c r="H82" s="1322" t="s">
        <v>375</v>
      </c>
      <c r="I82" s="365" t="s">
        <v>480</v>
      </c>
      <c r="J82" s="365">
        <f t="shared" si="1"/>
        <v>534840</v>
      </c>
      <c r="K82" s="1345"/>
      <c r="N82" s="524"/>
      <c r="O82" s="524"/>
      <c r="P82" s="524"/>
      <c r="Q82" s="524"/>
      <c r="R82" s="524"/>
    </row>
    <row r="83" spans="1:19" s="370" customFormat="1" ht="21" customHeight="1" x14ac:dyDescent="0.25">
      <c r="A83" s="365"/>
      <c r="B83" s="644" t="s">
        <v>481</v>
      </c>
      <c r="C83" s="871">
        <v>43017</v>
      </c>
      <c r="D83" s="872">
        <v>45574</v>
      </c>
      <c r="E83" s="872" t="s">
        <v>381</v>
      </c>
      <c r="F83" s="873">
        <v>15764183.26</v>
      </c>
      <c r="G83" s="808">
        <v>4.5</v>
      </c>
      <c r="H83" s="1322" t="s">
        <v>375</v>
      </c>
      <c r="I83" s="365"/>
      <c r="J83" s="365">
        <f t="shared" si="1"/>
        <v>709388</v>
      </c>
      <c r="K83" s="1318"/>
      <c r="O83" s="374"/>
      <c r="P83" s="374"/>
      <c r="Q83" s="374"/>
      <c r="R83" s="374"/>
      <c r="S83" s="374"/>
    </row>
    <row r="84" spans="1:19" s="370" customFormat="1" ht="21" customHeight="1" x14ac:dyDescent="0.25">
      <c r="A84" s="365"/>
      <c r="B84" s="644" t="s">
        <v>418</v>
      </c>
      <c r="C84" s="871">
        <v>43815</v>
      </c>
      <c r="D84" s="872">
        <v>45642</v>
      </c>
      <c r="E84" s="872" t="s">
        <v>376</v>
      </c>
      <c r="F84" s="873">
        <v>22144243.620000001</v>
      </c>
      <c r="G84" s="808">
        <v>4</v>
      </c>
      <c r="H84" s="1322" t="s">
        <v>375</v>
      </c>
      <c r="I84" s="365" t="s">
        <v>409</v>
      </c>
      <c r="J84" s="365">
        <f t="shared" si="1"/>
        <v>885770</v>
      </c>
      <c r="K84" s="1318"/>
      <c r="O84" s="374"/>
      <c r="P84" s="374"/>
      <c r="Q84" s="374"/>
      <c r="R84" s="374"/>
      <c r="S84" s="374"/>
    </row>
    <row r="85" spans="1:19" s="370" customFormat="1" ht="21" customHeight="1" x14ac:dyDescent="0.25">
      <c r="A85" s="365"/>
      <c r="B85" s="644" t="s">
        <v>482</v>
      </c>
      <c r="C85" s="871">
        <v>43511</v>
      </c>
      <c r="D85" s="872">
        <v>45702</v>
      </c>
      <c r="E85" s="872" t="s">
        <v>379</v>
      </c>
      <c r="F85" s="873">
        <v>1181712.93</v>
      </c>
      <c r="G85" s="808">
        <v>5</v>
      </c>
      <c r="H85" s="1322" t="s">
        <v>375</v>
      </c>
      <c r="I85" s="365"/>
      <c r="J85" s="365">
        <f t="shared" si="1"/>
        <v>59086</v>
      </c>
      <c r="K85" s="1318"/>
      <c r="O85" s="374"/>
      <c r="P85" s="374"/>
      <c r="Q85" s="374"/>
      <c r="R85" s="374"/>
      <c r="S85" s="374"/>
    </row>
    <row r="86" spans="1:19" s="370" customFormat="1" ht="21" customHeight="1" x14ac:dyDescent="0.25">
      <c r="A86" s="365"/>
      <c r="B86" s="644" t="s">
        <v>483</v>
      </c>
      <c r="C86" s="871">
        <v>43403</v>
      </c>
      <c r="D86" s="872">
        <v>45960</v>
      </c>
      <c r="E86" s="872" t="s">
        <v>381</v>
      </c>
      <c r="F86" s="873">
        <v>33443142.440000001</v>
      </c>
      <c r="G86" s="808">
        <v>5</v>
      </c>
      <c r="H86" s="1322" t="s">
        <v>375</v>
      </c>
      <c r="I86" s="365"/>
      <c r="J86" s="365">
        <f t="shared" si="1"/>
        <v>1672157</v>
      </c>
      <c r="K86" s="1318"/>
      <c r="O86" s="374"/>
      <c r="P86" s="374"/>
      <c r="Q86" s="374"/>
      <c r="R86" s="374"/>
      <c r="S86" s="374"/>
    </row>
    <row r="87" spans="1:19" s="520" customFormat="1" ht="21" customHeight="1" x14ac:dyDescent="0.25">
      <c r="B87" s="1351" t="s">
        <v>484</v>
      </c>
      <c r="C87" s="871">
        <v>43434</v>
      </c>
      <c r="D87" s="871">
        <v>45988</v>
      </c>
      <c r="E87" s="872" t="s">
        <v>381</v>
      </c>
      <c r="F87" s="873">
        <v>35450000</v>
      </c>
      <c r="G87" s="649">
        <v>5.125</v>
      </c>
      <c r="H87" s="1322" t="s">
        <v>375</v>
      </c>
      <c r="I87" s="365"/>
      <c r="J87" s="365">
        <f t="shared" si="1"/>
        <v>1816813</v>
      </c>
      <c r="K87" s="1345"/>
      <c r="O87" s="524"/>
      <c r="P87" s="524"/>
      <c r="Q87" s="524"/>
      <c r="R87" s="524"/>
      <c r="S87" s="524"/>
    </row>
    <row r="88" spans="1:19" s="520" customFormat="1" ht="21" customHeight="1" x14ac:dyDescent="0.25">
      <c r="B88" s="644" t="s">
        <v>485</v>
      </c>
      <c r="C88" s="871">
        <v>43815</v>
      </c>
      <c r="D88" s="872">
        <v>46006</v>
      </c>
      <c r="E88" s="872" t="s">
        <v>379</v>
      </c>
      <c r="F88" s="873">
        <v>25000000</v>
      </c>
      <c r="G88" s="649">
        <v>4.125</v>
      </c>
      <c r="H88" s="1322" t="s">
        <v>375</v>
      </c>
      <c r="I88" s="365" t="s">
        <v>409</v>
      </c>
      <c r="J88" s="365">
        <f t="shared" si="1"/>
        <v>1031250</v>
      </c>
      <c r="K88" s="1345"/>
      <c r="O88" s="524"/>
      <c r="P88" s="524"/>
      <c r="Q88" s="524"/>
      <c r="R88" s="524"/>
      <c r="S88" s="524"/>
    </row>
    <row r="89" spans="1:19" s="520" customFormat="1" ht="21" customHeight="1" x14ac:dyDescent="0.25">
      <c r="B89" s="644" t="s">
        <v>486</v>
      </c>
      <c r="C89" s="871">
        <v>43452</v>
      </c>
      <c r="D89" s="871">
        <v>46007</v>
      </c>
      <c r="E89" s="872" t="s">
        <v>381</v>
      </c>
      <c r="F89" s="873">
        <v>12389162.4</v>
      </c>
      <c r="G89" s="649">
        <v>5.125</v>
      </c>
      <c r="H89" s="1322" t="s">
        <v>375</v>
      </c>
      <c r="I89" s="405" t="s">
        <v>453</v>
      </c>
      <c r="J89" s="365">
        <f t="shared" si="1"/>
        <v>634945</v>
      </c>
      <c r="K89" s="1345"/>
      <c r="O89" s="524"/>
      <c r="P89" s="524"/>
      <c r="Q89" s="524"/>
      <c r="R89" s="524"/>
      <c r="S89" s="524"/>
    </row>
    <row r="90" spans="1:19" s="520" customFormat="1" ht="21" customHeight="1" x14ac:dyDescent="0.25">
      <c r="B90" s="644" t="s">
        <v>487</v>
      </c>
      <c r="C90" s="871">
        <v>44075</v>
      </c>
      <c r="D90" s="872">
        <v>46264</v>
      </c>
      <c r="E90" s="872" t="s">
        <v>379</v>
      </c>
      <c r="F90" s="873">
        <v>50000000</v>
      </c>
      <c r="G90" s="649">
        <v>3.5</v>
      </c>
      <c r="H90" s="1322" t="s">
        <v>375</v>
      </c>
      <c r="I90" s="365"/>
      <c r="J90" s="365">
        <f t="shared" si="1"/>
        <v>1750000</v>
      </c>
      <c r="K90" s="1345"/>
      <c r="O90" s="524"/>
      <c r="P90" s="524"/>
      <c r="Q90" s="524"/>
      <c r="R90" s="524"/>
      <c r="S90" s="524"/>
    </row>
    <row r="91" spans="1:19" s="520" customFormat="1" ht="21" customHeight="1" x14ac:dyDescent="0.25">
      <c r="B91" s="644" t="s">
        <v>454</v>
      </c>
      <c r="C91" s="871">
        <v>43815</v>
      </c>
      <c r="D91" s="872">
        <v>46370</v>
      </c>
      <c r="E91" s="872" t="s">
        <v>381</v>
      </c>
      <c r="F91" s="873">
        <v>20381174.690000001</v>
      </c>
      <c r="G91" s="649">
        <v>4.25</v>
      </c>
      <c r="H91" s="1322" t="s">
        <v>375</v>
      </c>
      <c r="I91" s="365" t="s">
        <v>409</v>
      </c>
      <c r="J91" s="365">
        <f t="shared" si="1"/>
        <v>866200</v>
      </c>
      <c r="K91" s="1345"/>
      <c r="O91" s="524"/>
      <c r="P91" s="524"/>
      <c r="Q91" s="524"/>
      <c r="R91" s="524"/>
      <c r="S91" s="524"/>
    </row>
    <row r="92" spans="1:19" s="609" customFormat="1" ht="21" customHeight="1" x14ac:dyDescent="0.25">
      <c r="B92" s="644" t="s">
        <v>488</v>
      </c>
      <c r="C92" s="871">
        <v>44179</v>
      </c>
      <c r="D92" s="872">
        <v>46370</v>
      </c>
      <c r="E92" s="872" t="s">
        <v>379</v>
      </c>
      <c r="F92" s="873">
        <v>50000000</v>
      </c>
      <c r="G92" s="649">
        <v>3</v>
      </c>
      <c r="H92" s="1322" t="s">
        <v>375</v>
      </c>
      <c r="I92" s="640" t="s">
        <v>489</v>
      </c>
      <c r="J92" s="365">
        <f t="shared" si="1"/>
        <v>1500000</v>
      </c>
      <c r="K92" s="1330"/>
      <c r="O92" s="611"/>
      <c r="P92" s="611"/>
      <c r="Q92" s="611"/>
      <c r="R92" s="611"/>
      <c r="S92" s="611"/>
    </row>
    <row r="93" spans="1:19" s="609" customFormat="1" ht="21" customHeight="1" x14ac:dyDescent="0.25">
      <c r="B93" s="644" t="s">
        <v>490</v>
      </c>
      <c r="C93" s="871">
        <v>44075</v>
      </c>
      <c r="D93" s="872">
        <v>46629</v>
      </c>
      <c r="E93" s="872" t="s">
        <v>381</v>
      </c>
      <c r="F93" s="873">
        <v>24876034.420000002</v>
      </c>
      <c r="G93" s="649">
        <v>3.53</v>
      </c>
      <c r="H93" s="1322" t="s">
        <v>375</v>
      </c>
      <c r="I93" s="640"/>
      <c r="J93" s="365">
        <f t="shared" si="1"/>
        <v>878124</v>
      </c>
      <c r="K93" s="1330"/>
      <c r="O93" s="611"/>
      <c r="P93" s="611"/>
      <c r="Q93" s="611"/>
      <c r="R93" s="611"/>
      <c r="S93" s="611"/>
    </row>
    <row r="94" spans="1:19" s="609" customFormat="1" ht="21" customHeight="1" x14ac:dyDescent="0.25">
      <c r="B94" s="644" t="s">
        <v>701</v>
      </c>
      <c r="C94" s="871">
        <v>44995</v>
      </c>
      <c r="D94" s="872">
        <v>46820</v>
      </c>
      <c r="E94" s="872" t="s">
        <v>376</v>
      </c>
      <c r="F94" s="873">
        <v>1852763.21</v>
      </c>
      <c r="G94" s="649">
        <v>5.15</v>
      </c>
      <c r="H94" s="1322"/>
      <c r="I94" s="640"/>
      <c r="J94" s="365">
        <f t="shared" si="1"/>
        <v>95417</v>
      </c>
      <c r="K94" s="1330"/>
      <c r="O94" s="611"/>
      <c r="P94" s="611"/>
      <c r="Q94" s="611"/>
      <c r="R94" s="611"/>
      <c r="S94" s="611"/>
    </row>
    <row r="95" spans="1:19" s="878" customFormat="1" ht="21" customHeight="1" x14ac:dyDescent="0.25">
      <c r="B95" s="806" t="s">
        <v>564</v>
      </c>
      <c r="C95" s="879">
        <v>44799</v>
      </c>
      <c r="D95" s="880">
        <v>46989</v>
      </c>
      <c r="E95" s="880" t="s">
        <v>379</v>
      </c>
      <c r="F95" s="881">
        <v>22835000</v>
      </c>
      <c r="G95" s="808">
        <v>4.125</v>
      </c>
      <c r="H95" s="1332" t="s">
        <v>437</v>
      </c>
      <c r="I95" s="883"/>
      <c r="J95" s="365">
        <f t="shared" si="1"/>
        <v>941944</v>
      </c>
      <c r="K95" s="1352"/>
      <c r="O95" s="884"/>
      <c r="P95" s="884"/>
      <c r="Q95" s="884"/>
      <c r="R95" s="884"/>
      <c r="S95" s="884"/>
    </row>
    <row r="96" spans="1:19" s="609" customFormat="1" ht="21" customHeight="1" x14ac:dyDescent="0.25">
      <c r="B96" s="644" t="s">
        <v>491</v>
      </c>
      <c r="C96" s="871">
        <v>44726</v>
      </c>
      <c r="D96" s="872">
        <v>47281</v>
      </c>
      <c r="E96" s="872" t="s">
        <v>381</v>
      </c>
      <c r="F96" s="873">
        <v>29000000</v>
      </c>
      <c r="G96" s="649">
        <v>3.95</v>
      </c>
      <c r="H96" s="1322" t="s">
        <v>437</v>
      </c>
      <c r="I96" s="640"/>
      <c r="J96" s="365">
        <f t="shared" si="1"/>
        <v>1145500</v>
      </c>
      <c r="K96" s="1330"/>
      <c r="O96" s="611"/>
      <c r="P96" s="611"/>
      <c r="Q96" s="611"/>
      <c r="R96" s="611"/>
      <c r="S96" s="611"/>
    </row>
    <row r="97" spans="1:19" s="855" customFormat="1" ht="21" customHeight="1" x14ac:dyDescent="0.25">
      <c r="B97" s="806" t="s">
        <v>565</v>
      </c>
      <c r="C97" s="879">
        <v>44799</v>
      </c>
      <c r="D97" s="879">
        <v>47354</v>
      </c>
      <c r="E97" s="880" t="s">
        <v>381</v>
      </c>
      <c r="F97" s="881">
        <v>47835000</v>
      </c>
      <c r="G97" s="808">
        <v>4.25</v>
      </c>
      <c r="H97" s="1332" t="s">
        <v>437</v>
      </c>
      <c r="I97" s="860"/>
      <c r="J97" s="365">
        <f t="shared" si="1"/>
        <v>2032988</v>
      </c>
      <c r="K97" s="1333"/>
      <c r="O97" s="861"/>
      <c r="P97" s="861"/>
      <c r="Q97" s="861"/>
      <c r="R97" s="861"/>
      <c r="S97" s="861"/>
    </row>
    <row r="98" spans="1:19" s="885" customFormat="1" ht="21" customHeight="1" x14ac:dyDescent="0.25">
      <c r="B98" s="806" t="s">
        <v>566</v>
      </c>
      <c r="C98" s="879">
        <v>44799</v>
      </c>
      <c r="D98" s="880">
        <v>47721</v>
      </c>
      <c r="E98" s="880" t="s">
        <v>383</v>
      </c>
      <c r="F98" s="881">
        <v>47837732.369999997</v>
      </c>
      <c r="G98" s="808">
        <v>4.5</v>
      </c>
      <c r="H98" s="1322" t="s">
        <v>437</v>
      </c>
      <c r="I98" s="886"/>
      <c r="J98" s="365">
        <f t="shared" si="1"/>
        <v>2152698</v>
      </c>
      <c r="K98" s="1353"/>
      <c r="O98" s="887"/>
      <c r="P98" s="887"/>
      <c r="Q98" s="887"/>
      <c r="R98" s="887"/>
      <c r="S98" s="887"/>
    </row>
    <row r="99" spans="1:19" s="365" customFormat="1" ht="21" customHeight="1" x14ac:dyDescent="0.25">
      <c r="B99" s="644" t="s">
        <v>572</v>
      </c>
      <c r="C99" s="871">
        <v>44834</v>
      </c>
      <c r="D99" s="871">
        <v>47756</v>
      </c>
      <c r="E99" s="872" t="s">
        <v>383</v>
      </c>
      <c r="F99" s="873">
        <v>2936100</v>
      </c>
      <c r="G99" s="874">
        <v>4.125</v>
      </c>
      <c r="H99" s="1354" t="s">
        <v>437</v>
      </c>
      <c r="J99" s="365">
        <f t="shared" si="1"/>
        <v>121114</v>
      </c>
      <c r="K99" s="1312"/>
      <c r="O99" s="353"/>
      <c r="P99" s="353"/>
      <c r="Q99" s="353"/>
      <c r="R99" s="353"/>
      <c r="S99" s="353"/>
    </row>
    <row r="100" spans="1:19" s="609" customFormat="1" ht="21" customHeight="1" x14ac:dyDescent="0.25">
      <c r="B100" s="644" t="s">
        <v>492</v>
      </c>
      <c r="C100" s="871">
        <v>44260</v>
      </c>
      <c r="D100" s="872">
        <v>47912</v>
      </c>
      <c r="E100" s="872" t="s">
        <v>493</v>
      </c>
      <c r="F100" s="873">
        <v>25000000</v>
      </c>
      <c r="G100" s="649">
        <v>3.125</v>
      </c>
      <c r="H100" s="1322" t="s">
        <v>437</v>
      </c>
      <c r="I100" s="640"/>
      <c r="J100" s="365">
        <f t="shared" si="1"/>
        <v>781250</v>
      </c>
      <c r="K100" s="1330"/>
      <c r="O100" s="611"/>
      <c r="P100" s="611"/>
      <c r="Q100" s="611"/>
      <c r="R100" s="611"/>
      <c r="S100" s="611"/>
    </row>
    <row r="101" spans="1:19" s="609" customFormat="1" ht="21" customHeight="1" x14ac:dyDescent="0.25">
      <c r="B101" s="644" t="s">
        <v>703</v>
      </c>
      <c r="C101" s="871">
        <v>44995</v>
      </c>
      <c r="D101" s="872">
        <v>47914</v>
      </c>
      <c r="E101" s="872" t="s">
        <v>383</v>
      </c>
      <c r="F101" s="873">
        <v>100000000</v>
      </c>
      <c r="G101" s="649">
        <v>5.55</v>
      </c>
      <c r="H101" s="1322"/>
      <c r="I101" s="640"/>
      <c r="J101" s="365">
        <f t="shared" si="1"/>
        <v>5550000</v>
      </c>
      <c r="K101" s="1330"/>
      <c r="O101" s="611"/>
      <c r="P101" s="611"/>
      <c r="Q101" s="611"/>
      <c r="R101" s="611"/>
      <c r="S101" s="611"/>
    </row>
    <row r="102" spans="1:19" s="609" customFormat="1" ht="21" customHeight="1" x14ac:dyDescent="0.25">
      <c r="B102" s="806" t="s">
        <v>704</v>
      </c>
      <c r="C102" s="879">
        <v>44995</v>
      </c>
      <c r="D102" s="879">
        <v>47922</v>
      </c>
      <c r="E102" s="880" t="s">
        <v>383</v>
      </c>
      <c r="F102" s="881">
        <v>50000000</v>
      </c>
      <c r="G102" s="808">
        <v>5.55</v>
      </c>
      <c r="H102" s="1322"/>
      <c r="I102" s="640"/>
      <c r="J102" s="365">
        <f t="shared" si="1"/>
        <v>2775000</v>
      </c>
      <c r="K102" s="1330"/>
      <c r="O102" s="611"/>
      <c r="P102" s="611"/>
      <c r="Q102" s="611"/>
      <c r="R102" s="611"/>
      <c r="S102" s="611"/>
    </row>
    <row r="103" spans="1:19" s="609" customFormat="1" ht="21" customHeight="1" x14ac:dyDescent="0.25">
      <c r="B103" s="644" t="s">
        <v>465</v>
      </c>
      <c r="C103" s="871">
        <v>44676</v>
      </c>
      <c r="D103" s="872">
        <v>47961</v>
      </c>
      <c r="E103" s="872" t="s">
        <v>462</v>
      </c>
      <c r="F103" s="873">
        <v>11500000</v>
      </c>
      <c r="G103" s="649">
        <v>3.375</v>
      </c>
      <c r="H103" s="1322" t="s">
        <v>437</v>
      </c>
      <c r="I103" s="505" t="s">
        <v>459</v>
      </c>
      <c r="J103" s="365">
        <f t="shared" si="1"/>
        <v>388125</v>
      </c>
      <c r="K103" s="1330"/>
      <c r="O103" s="611"/>
      <c r="P103" s="611"/>
      <c r="Q103" s="611"/>
      <c r="R103" s="611"/>
      <c r="S103" s="611"/>
    </row>
    <row r="104" spans="1:19" s="609" customFormat="1" ht="21" customHeight="1" x14ac:dyDescent="0.25">
      <c r="B104" s="644" t="s">
        <v>494</v>
      </c>
      <c r="C104" s="871">
        <v>44676</v>
      </c>
      <c r="D104" s="872">
        <v>48326</v>
      </c>
      <c r="E104" s="872" t="s">
        <v>493</v>
      </c>
      <c r="F104" s="873">
        <v>20000000</v>
      </c>
      <c r="G104" s="649">
        <v>3.5</v>
      </c>
      <c r="H104" s="1322" t="s">
        <v>437</v>
      </c>
      <c r="I104" s="505" t="s">
        <v>459</v>
      </c>
      <c r="J104" s="365">
        <f t="shared" si="1"/>
        <v>700000</v>
      </c>
      <c r="K104" s="1330"/>
      <c r="O104" s="611"/>
      <c r="P104" s="611"/>
      <c r="Q104" s="611"/>
      <c r="R104" s="611"/>
      <c r="S104" s="611"/>
    </row>
    <row r="105" spans="1:19" s="365" customFormat="1" ht="27.75" customHeight="1" x14ac:dyDescent="0.25">
      <c r="B105" s="1334" t="s">
        <v>423</v>
      </c>
      <c r="C105" s="1289"/>
      <c r="D105" s="1289"/>
      <c r="E105" s="1335"/>
      <c r="F105" s="1336">
        <f>SUM(F106:F108)</f>
        <v>160281593.00999999</v>
      </c>
      <c r="G105" s="1235"/>
      <c r="H105" s="839"/>
      <c r="J105" s="370">
        <f>SUM(J78:J104)</f>
        <v>32797461</v>
      </c>
      <c r="K105" s="1318">
        <f>J105/F75</f>
        <v>4.4429000000000003E-2</v>
      </c>
      <c r="O105" s="353"/>
      <c r="P105" s="353"/>
      <c r="Q105" s="353"/>
      <c r="R105" s="353"/>
      <c r="S105" s="353"/>
    </row>
    <row r="106" spans="1:19" s="365" customFormat="1" ht="24" customHeight="1" x14ac:dyDescent="0.25">
      <c r="A106" s="519"/>
      <c r="B106" s="1213">
        <v>50401687976</v>
      </c>
      <c r="C106" s="880">
        <v>42333</v>
      </c>
      <c r="D106" s="880">
        <v>45253</v>
      </c>
      <c r="E106" s="880" t="s">
        <v>383</v>
      </c>
      <c r="F106" s="881">
        <v>73281593.010000005</v>
      </c>
      <c r="G106" s="808">
        <v>5.4</v>
      </c>
      <c r="H106" s="1322" t="s">
        <v>375</v>
      </c>
      <c r="J106" s="365">
        <f t="shared" si="1"/>
        <v>3957206</v>
      </c>
      <c r="K106" s="1312"/>
      <c r="O106" s="353"/>
      <c r="P106" s="353"/>
      <c r="Q106" s="353"/>
      <c r="R106" s="353"/>
      <c r="S106" s="353"/>
    </row>
    <row r="107" spans="1:19" s="365" customFormat="1" ht="24" customHeight="1" x14ac:dyDescent="0.25">
      <c r="A107" s="519"/>
      <c r="B107" s="1213">
        <v>50401000670</v>
      </c>
      <c r="C107" s="880">
        <v>44802</v>
      </c>
      <c r="D107" s="880">
        <v>46262</v>
      </c>
      <c r="E107" s="880" t="s">
        <v>408</v>
      </c>
      <c r="F107" s="881">
        <v>43500000</v>
      </c>
      <c r="G107" s="808">
        <v>4.7</v>
      </c>
      <c r="H107" s="839" t="s">
        <v>437</v>
      </c>
      <c r="J107" s="365">
        <f t="shared" si="1"/>
        <v>2044500</v>
      </c>
      <c r="K107" s="1312"/>
      <c r="O107" s="353"/>
      <c r="P107" s="353"/>
      <c r="Q107" s="353"/>
      <c r="R107" s="353"/>
      <c r="S107" s="353"/>
    </row>
    <row r="108" spans="1:19" s="365" customFormat="1" ht="24" customHeight="1" x14ac:dyDescent="0.25">
      <c r="A108" s="519"/>
      <c r="B108" s="1213">
        <v>50401000686</v>
      </c>
      <c r="C108" s="880">
        <v>44802</v>
      </c>
      <c r="D108" s="880">
        <v>46627</v>
      </c>
      <c r="E108" s="880" t="s">
        <v>376</v>
      </c>
      <c r="F108" s="881">
        <v>43500000</v>
      </c>
      <c r="G108" s="808">
        <v>4.8</v>
      </c>
      <c r="H108" s="839" t="s">
        <v>437</v>
      </c>
      <c r="J108" s="365">
        <f t="shared" si="1"/>
        <v>2088000</v>
      </c>
      <c r="K108" s="1312"/>
      <c r="O108" s="353"/>
      <c r="P108" s="353"/>
      <c r="Q108" s="353"/>
      <c r="R108" s="353"/>
      <c r="S108" s="353"/>
    </row>
    <row r="109" spans="1:19" s="365" customFormat="1" ht="28.5" customHeight="1" x14ac:dyDescent="0.25">
      <c r="B109" s="1334" t="s">
        <v>567</v>
      </c>
      <c r="C109" s="1289"/>
      <c r="D109" s="1289"/>
      <c r="E109" s="1335"/>
      <c r="F109" s="1336">
        <f>SUM(F110:F112)</f>
        <v>87000000</v>
      </c>
      <c r="G109" s="1235"/>
      <c r="H109" s="839"/>
      <c r="K109" s="1312"/>
      <c r="O109" s="353"/>
      <c r="P109" s="353"/>
      <c r="Q109" s="353"/>
      <c r="R109" s="353"/>
      <c r="S109" s="353"/>
    </row>
    <row r="110" spans="1:19" s="365" customFormat="1" ht="23.25" customHeight="1" x14ac:dyDescent="0.25">
      <c r="A110" s="519"/>
      <c r="B110" s="644">
        <v>130020000610160</v>
      </c>
      <c r="C110" s="871">
        <v>44803</v>
      </c>
      <c r="D110" s="871">
        <v>45898</v>
      </c>
      <c r="E110" s="872" t="s">
        <v>477</v>
      </c>
      <c r="F110" s="873">
        <v>29000000</v>
      </c>
      <c r="G110" s="874">
        <v>4.0999999999999996</v>
      </c>
      <c r="H110" s="1322" t="s">
        <v>437</v>
      </c>
      <c r="J110" s="365">
        <f t="shared" si="1"/>
        <v>1189000</v>
      </c>
      <c r="K110" s="1312"/>
      <c r="O110" s="353"/>
      <c r="P110" s="353"/>
      <c r="Q110" s="353"/>
      <c r="R110" s="353"/>
      <c r="S110" s="353"/>
    </row>
    <row r="111" spans="1:19" s="365" customFormat="1" ht="23.25" customHeight="1" x14ac:dyDescent="0.25">
      <c r="A111" s="519"/>
      <c r="B111" s="644">
        <v>130020000610112</v>
      </c>
      <c r="C111" s="871">
        <v>44803</v>
      </c>
      <c r="D111" s="871">
        <v>46265</v>
      </c>
      <c r="E111" s="872" t="s">
        <v>408</v>
      </c>
      <c r="F111" s="873">
        <v>29000000</v>
      </c>
      <c r="G111" s="874">
        <v>4.5</v>
      </c>
      <c r="H111" s="1322" t="s">
        <v>437</v>
      </c>
      <c r="J111" s="365">
        <f t="shared" si="1"/>
        <v>1305000</v>
      </c>
      <c r="K111" s="1312"/>
      <c r="O111" s="353"/>
      <c r="P111" s="353"/>
      <c r="Q111" s="353"/>
      <c r="R111" s="353"/>
      <c r="S111" s="353"/>
    </row>
    <row r="112" spans="1:19" s="365" customFormat="1" ht="23.25" customHeight="1" x14ac:dyDescent="0.25">
      <c r="A112" s="519"/>
      <c r="B112" s="644">
        <v>130020000610110</v>
      </c>
      <c r="C112" s="871">
        <v>44803</v>
      </c>
      <c r="D112" s="871">
        <v>46629</v>
      </c>
      <c r="E112" s="872" t="s">
        <v>376</v>
      </c>
      <c r="F112" s="873">
        <v>29000000</v>
      </c>
      <c r="G112" s="874">
        <v>5</v>
      </c>
      <c r="H112" s="1322" t="s">
        <v>437</v>
      </c>
      <c r="J112" s="365">
        <f t="shared" si="1"/>
        <v>1450000</v>
      </c>
      <c r="K112" s="1312"/>
      <c r="O112" s="353"/>
      <c r="P112" s="353"/>
      <c r="Q112" s="353"/>
      <c r="R112" s="353"/>
      <c r="S112" s="353"/>
    </row>
    <row r="113" spans="1:19" s="365" customFormat="1" ht="21" customHeight="1" x14ac:dyDescent="0.25">
      <c r="B113" s="1334" t="s">
        <v>568</v>
      </c>
      <c r="C113" s="1289"/>
      <c r="D113" s="1289"/>
      <c r="E113" s="1335"/>
      <c r="F113" s="1336">
        <f>SUM(F114:F115)</f>
        <v>43500000</v>
      </c>
      <c r="G113" s="1235"/>
      <c r="H113" s="839"/>
      <c r="K113" s="1312"/>
      <c r="N113" s="365">
        <f>F105+F109+F113</f>
        <v>290781593</v>
      </c>
      <c r="O113" s="353"/>
      <c r="P113" s="353"/>
      <c r="Q113" s="353"/>
      <c r="R113" s="353"/>
      <c r="S113" s="353"/>
    </row>
    <row r="114" spans="1:19" s="365" customFormat="1" ht="21" customHeight="1" x14ac:dyDescent="0.25">
      <c r="A114" s="519"/>
      <c r="B114" s="1213">
        <v>258906338</v>
      </c>
      <c r="C114" s="880">
        <v>44777</v>
      </c>
      <c r="D114" s="880">
        <v>45873</v>
      </c>
      <c r="E114" s="880" t="s">
        <v>477</v>
      </c>
      <c r="F114" s="881">
        <v>43500000</v>
      </c>
      <c r="G114" s="808">
        <v>5.25</v>
      </c>
      <c r="H114" s="1322" t="s">
        <v>375</v>
      </c>
      <c r="J114" s="365">
        <f t="shared" si="1"/>
        <v>2283750</v>
      </c>
      <c r="K114" s="1312"/>
      <c r="O114" s="353"/>
      <c r="P114" s="353"/>
      <c r="Q114" s="353"/>
      <c r="R114" s="353"/>
      <c r="S114" s="353"/>
    </row>
    <row r="115" spans="1:19" s="520" customFormat="1" ht="21" customHeight="1" x14ac:dyDescent="0.35">
      <c r="B115" s="938" t="str">
        <f>[11]SEGUROS!$B$55</f>
        <v xml:space="preserve">FUENTE: DEPTO DE TESORERIA - DNF </v>
      </c>
      <c r="C115" s="344"/>
      <c r="D115" s="459"/>
      <c r="E115" s="336"/>
      <c r="F115" s="456"/>
      <c r="G115" s="682"/>
      <c r="H115" s="839"/>
      <c r="I115" s="365"/>
      <c r="J115" s="1355">
        <f>SUM(J106:J114)</f>
        <v>14317456</v>
      </c>
      <c r="K115" s="1356">
        <f>J115/(F105+F109+F113)</f>
        <v>4.9237999999999997E-2</v>
      </c>
      <c r="O115" s="524"/>
      <c r="P115" s="524"/>
      <c r="Q115" s="524"/>
      <c r="R115" s="524"/>
      <c r="S115" s="524"/>
    </row>
    <row r="116" spans="1:19" ht="21" customHeight="1" x14ac:dyDescent="0.35">
      <c r="B116" s="890" t="str">
        <f>'[11]RESUMEN '!B45:K45</f>
        <v>29/03/2023</v>
      </c>
      <c r="C116" s="344"/>
      <c r="D116" s="455"/>
      <c r="E116" s="336"/>
      <c r="G116" s="682"/>
    </row>
    <row r="117" spans="1:19" ht="21" customHeight="1" x14ac:dyDescent="0.35">
      <c r="B117" s="677" t="str">
        <f>'[11]VENC. '!B$206</f>
        <v>Preparado por:    _______________________________________</v>
      </c>
      <c r="C117" s="453"/>
      <c r="D117" s="1656" t="str">
        <f>'[11]VENC. '!D$206</f>
        <v>Revisado por:      ___________________________________</v>
      </c>
      <c r="E117" s="1656"/>
      <c r="F117" s="1656"/>
      <c r="G117" s="1657"/>
    </row>
    <row r="118" spans="1:19" ht="21" customHeight="1" x14ac:dyDescent="0.35">
      <c r="B118" s="1740" t="s">
        <v>705</v>
      </c>
      <c r="C118" s="1741"/>
      <c r="E118" s="1656" t="str">
        <f>'[11]VENC. '!D$207</f>
        <v>Lic. Matilde Jordán</v>
      </c>
      <c r="F118" s="1656"/>
      <c r="G118" s="1657"/>
      <c r="H118" s="355"/>
      <c r="I118" s="355"/>
      <c r="J118" s="355"/>
      <c r="O118" s="355"/>
      <c r="P118" s="355"/>
      <c r="Q118" s="355"/>
      <c r="R118" s="355"/>
      <c r="S118" s="355"/>
    </row>
    <row r="119" spans="1:19" ht="13.5" customHeight="1" thickBot="1" x14ac:dyDescent="0.4">
      <c r="B119" s="1742" t="str">
        <f>'[11]VENC. '!B$208</f>
        <v>Analista Financiero</v>
      </c>
      <c r="C119" s="1743"/>
      <c r="D119" s="1358"/>
      <c r="E119" s="1744" t="str">
        <f>'[11]VENC. '!D$208</f>
        <v>Jefa del Departamento de Tesorería.</v>
      </c>
      <c r="F119" s="1744"/>
      <c r="G119" s="1745"/>
      <c r="H119" s="355"/>
      <c r="I119" s="355"/>
      <c r="J119" s="355"/>
      <c r="O119" s="355"/>
      <c r="P119" s="355"/>
      <c r="Q119" s="355"/>
      <c r="R119" s="355"/>
      <c r="S119" s="355"/>
    </row>
    <row r="120" spans="1:19" ht="21" customHeight="1" x14ac:dyDescent="0.35">
      <c r="B120" s="893"/>
      <c r="C120" s="894"/>
      <c r="D120" s="894"/>
      <c r="E120" s="894"/>
      <c r="F120" s="894"/>
      <c r="G120" s="895"/>
      <c r="H120" s="355"/>
      <c r="I120" s="355"/>
      <c r="J120" s="355"/>
      <c r="O120" s="355"/>
      <c r="P120" s="355"/>
      <c r="Q120" s="355"/>
      <c r="R120" s="355"/>
      <c r="S120" s="355"/>
    </row>
    <row r="121" spans="1:19" ht="16.5" customHeight="1" x14ac:dyDescent="0.35">
      <c r="B121" s="459"/>
      <c r="H121" s="355"/>
      <c r="I121" s="355"/>
      <c r="J121" s="355"/>
      <c r="O121" s="355"/>
      <c r="P121" s="355"/>
      <c r="Q121" s="355"/>
      <c r="R121" s="355"/>
      <c r="S121" s="355"/>
    </row>
  </sheetData>
  <mergeCells count="20">
    <mergeCell ref="H6:H8"/>
    <mergeCell ref="J7:O8"/>
    <mergeCell ref="B9:E9"/>
    <mergeCell ref="D117:G117"/>
    <mergeCell ref="K1:O1"/>
    <mergeCell ref="B2:G2"/>
    <mergeCell ref="B3:G3"/>
    <mergeCell ref="J3:O3"/>
    <mergeCell ref="B4:G4"/>
    <mergeCell ref="J4:J6"/>
    <mergeCell ref="B5:G5"/>
    <mergeCell ref="B6:B8"/>
    <mergeCell ref="C6:D7"/>
    <mergeCell ref="E6:E8"/>
    <mergeCell ref="B118:C118"/>
    <mergeCell ref="E118:G118"/>
    <mergeCell ref="B119:C119"/>
    <mergeCell ref="E119:G119"/>
    <mergeCell ref="F6:F7"/>
    <mergeCell ref="G6:G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5050"/>
  </sheetPr>
  <dimension ref="B1:AJ50"/>
  <sheetViews>
    <sheetView showGridLines="0" zoomScale="130" zoomScaleNormal="130" workbookViewId="0">
      <selection activeCell="N19" sqref="N19"/>
    </sheetView>
  </sheetViews>
  <sheetFormatPr baseColWidth="10" defaultColWidth="11.453125" defaultRowHeight="13" x14ac:dyDescent="0.25"/>
  <cols>
    <col min="1" max="1" width="3.453125" style="30" customWidth="1"/>
    <col min="2" max="2" width="32.54296875" style="30" customWidth="1"/>
    <col min="3" max="3" width="0.81640625" style="30" customWidth="1"/>
    <col min="4" max="4" width="15.7265625" style="31" hidden="1" customWidth="1"/>
    <col min="5" max="5" width="9.26953125" style="193" hidden="1" customWidth="1"/>
    <col min="6" max="6" width="1" style="30" hidden="1" customWidth="1"/>
    <col min="7" max="7" width="15.7265625" style="30" hidden="1" customWidth="1"/>
    <col min="8" max="9" width="7.7265625" style="185" hidden="1" customWidth="1"/>
    <col min="10" max="10" width="15.7265625" style="30" hidden="1" customWidth="1"/>
    <col min="11" max="12" width="7.7265625" style="185" hidden="1" customWidth="1"/>
    <col min="13" max="13" width="15.7265625" style="30" customWidth="1"/>
    <col min="14" max="15" width="7.7265625" style="185" customWidth="1"/>
    <col min="16" max="16" width="15.7265625" style="30" customWidth="1"/>
    <col min="17" max="18" width="7.7265625" style="185" customWidth="1"/>
    <col min="19" max="19" width="15.7265625" style="30" customWidth="1"/>
    <col min="20" max="21" width="7.7265625" style="185" customWidth="1"/>
    <col min="22" max="22" width="15.7265625" style="1465" hidden="1" customWidth="1"/>
    <col min="23" max="24" width="7.7265625" style="185" hidden="1" customWidth="1"/>
    <col min="25" max="25" width="15.7265625" style="30" hidden="1" customWidth="1"/>
    <col min="26" max="27" width="7.7265625" style="185" hidden="1" customWidth="1"/>
    <col min="28" max="28" width="15.7265625" style="30" hidden="1" customWidth="1"/>
    <col min="29" max="30" width="7.7265625" style="185" hidden="1" customWidth="1"/>
    <col min="31" max="31" width="15.7265625" style="30" hidden="1" customWidth="1"/>
    <col min="32" max="33" width="7.7265625" style="185" hidden="1" customWidth="1"/>
    <col min="34" max="34" width="15.7265625" style="30" hidden="1" customWidth="1"/>
    <col min="35" max="35" width="7.7265625" style="185" hidden="1" customWidth="1"/>
    <col min="36" max="36" width="7.7265625" style="30" hidden="1" customWidth="1"/>
    <col min="37" max="16384" width="11.453125" style="30"/>
  </cols>
  <sheetData>
    <row r="1" spans="2:36" ht="15.5" x14ac:dyDescent="0.25">
      <c r="B1" s="137"/>
      <c r="C1" s="138"/>
      <c r="D1" s="138"/>
      <c r="E1" s="182"/>
      <c r="F1" s="138"/>
      <c r="G1" s="138"/>
      <c r="H1" s="182"/>
      <c r="I1" s="182"/>
      <c r="J1" s="138"/>
      <c r="K1" s="182"/>
      <c r="L1" s="182"/>
      <c r="M1" s="138"/>
      <c r="N1" s="182"/>
      <c r="O1" s="182"/>
      <c r="P1" s="138"/>
      <c r="Q1" s="182"/>
      <c r="R1" s="182"/>
      <c r="S1" s="138"/>
      <c r="T1" s="182"/>
      <c r="U1" s="182"/>
      <c r="V1" s="1457"/>
      <c r="W1" s="182"/>
      <c r="X1" s="182"/>
      <c r="Y1" s="138"/>
      <c r="Z1" s="182"/>
      <c r="AA1" s="182"/>
      <c r="AB1" s="138"/>
      <c r="AC1" s="182"/>
      <c r="AD1" s="182"/>
      <c r="AE1" s="138"/>
      <c r="AF1" s="182"/>
      <c r="AG1" s="182"/>
      <c r="AH1" s="138"/>
      <c r="AI1" s="182"/>
    </row>
    <row r="2" spans="2:36" ht="21" customHeight="1" x14ac:dyDescent="0.25">
      <c r="B2" s="1605" t="s">
        <v>0</v>
      </c>
      <c r="C2" s="1605"/>
      <c r="D2" s="1605"/>
      <c r="E2" s="1605"/>
      <c r="F2" s="1605"/>
      <c r="G2" s="1605"/>
      <c r="H2" s="1605"/>
      <c r="I2" s="1605"/>
      <c r="J2" s="1605"/>
      <c r="K2" s="1605"/>
      <c r="L2" s="1605"/>
      <c r="M2" s="1605"/>
      <c r="N2" s="1605"/>
      <c r="O2" s="1605"/>
      <c r="P2" s="1605"/>
      <c r="Q2" s="1605"/>
      <c r="R2" s="1605"/>
      <c r="S2" s="1605"/>
      <c r="T2" s="1605"/>
      <c r="U2" s="1605"/>
      <c r="V2" s="1605"/>
      <c r="W2" s="1605"/>
      <c r="X2" s="1605"/>
      <c r="Y2" s="1605"/>
      <c r="Z2" s="1605"/>
      <c r="AA2" s="1605"/>
      <c r="AB2" s="1605"/>
      <c r="AC2" s="1605"/>
      <c r="AD2" s="1605"/>
      <c r="AE2" s="1605"/>
      <c r="AF2" s="1605"/>
      <c r="AG2" s="1605"/>
      <c r="AH2" s="1605"/>
      <c r="AI2" s="1605"/>
      <c r="AJ2" s="1605"/>
    </row>
    <row r="3" spans="2:36" ht="21" customHeight="1" x14ac:dyDescent="0.25">
      <c r="B3" s="1605" t="s">
        <v>1</v>
      </c>
      <c r="C3" s="1605"/>
      <c r="D3" s="1605"/>
      <c r="E3" s="1605"/>
      <c r="F3" s="1605"/>
      <c r="G3" s="1605"/>
      <c r="H3" s="1605"/>
      <c r="I3" s="1605"/>
      <c r="J3" s="1605"/>
      <c r="K3" s="1605"/>
      <c r="L3" s="1605"/>
      <c r="M3" s="1605"/>
      <c r="N3" s="1605"/>
      <c r="O3" s="1605"/>
      <c r="P3" s="1605"/>
      <c r="Q3" s="1605"/>
      <c r="R3" s="1605"/>
      <c r="S3" s="1605"/>
      <c r="T3" s="1605"/>
      <c r="U3" s="1605"/>
      <c r="V3" s="1605"/>
      <c r="W3" s="1605"/>
      <c r="X3" s="1605"/>
      <c r="Y3" s="1605"/>
      <c r="Z3" s="1605"/>
      <c r="AA3" s="1605"/>
      <c r="AB3" s="1605"/>
      <c r="AC3" s="1605"/>
      <c r="AD3" s="1605"/>
      <c r="AE3" s="1605"/>
      <c r="AF3" s="1605"/>
      <c r="AG3" s="1605"/>
      <c r="AH3" s="1605"/>
      <c r="AI3" s="1605"/>
      <c r="AJ3" s="1605"/>
    </row>
    <row r="4" spans="2:36" ht="40.5" customHeight="1" x14ac:dyDescent="0.25">
      <c r="B4" s="1606" t="s">
        <v>772</v>
      </c>
      <c r="C4" s="1606"/>
      <c r="D4" s="1606"/>
      <c r="E4" s="1606"/>
      <c r="F4" s="1606"/>
      <c r="G4" s="1606"/>
      <c r="H4" s="1606"/>
      <c r="I4" s="1606"/>
      <c r="J4" s="1606"/>
      <c r="K4" s="1606"/>
      <c r="L4" s="1606"/>
      <c r="M4" s="1606"/>
      <c r="N4" s="1606"/>
      <c r="O4" s="1606"/>
      <c r="P4" s="1606"/>
      <c r="Q4" s="1606"/>
      <c r="R4" s="1606"/>
      <c r="S4" s="1606"/>
      <c r="T4" s="1606"/>
      <c r="U4" s="1606"/>
      <c r="V4" s="1567"/>
      <c r="W4" s="1567"/>
      <c r="X4" s="1567"/>
      <c r="Y4" s="1567"/>
      <c r="Z4" s="1567"/>
      <c r="AA4" s="1567"/>
      <c r="AB4" s="1567"/>
      <c r="AC4" s="1567"/>
      <c r="AD4" s="1567"/>
      <c r="AE4" s="1567"/>
      <c r="AF4" s="1567"/>
      <c r="AG4" s="1567"/>
      <c r="AH4" s="1567"/>
      <c r="AI4" s="1567"/>
      <c r="AJ4" s="1567"/>
    </row>
    <row r="5" spans="2:36" ht="21" customHeight="1" x14ac:dyDescent="0.25">
      <c r="B5" s="1605" t="s">
        <v>732</v>
      </c>
      <c r="C5" s="1605"/>
      <c r="D5" s="1605"/>
      <c r="E5" s="1605"/>
      <c r="F5" s="1605"/>
      <c r="G5" s="1605"/>
      <c r="H5" s="1605"/>
      <c r="I5" s="1605"/>
      <c r="J5" s="1605"/>
      <c r="K5" s="1605"/>
      <c r="L5" s="1605"/>
      <c r="M5" s="1605"/>
      <c r="N5" s="1605"/>
      <c r="O5" s="1605"/>
      <c r="P5" s="1605"/>
      <c r="Q5" s="1605"/>
      <c r="R5" s="1605"/>
      <c r="S5" s="1605"/>
      <c r="T5" s="1605"/>
      <c r="U5" s="1605"/>
      <c r="V5" s="1605"/>
      <c r="W5" s="1605"/>
      <c r="X5" s="1605"/>
      <c r="Y5" s="1605"/>
      <c r="Z5" s="1605"/>
      <c r="AA5" s="1605"/>
      <c r="AB5" s="1605"/>
      <c r="AC5" s="1605"/>
      <c r="AD5" s="1605"/>
      <c r="AE5" s="1605"/>
      <c r="AF5" s="1605"/>
      <c r="AG5" s="1605"/>
      <c r="AH5" s="1605"/>
      <c r="AI5" s="1605"/>
      <c r="AJ5" s="1605"/>
    </row>
    <row r="6" spans="2:36" ht="21" customHeight="1" x14ac:dyDescent="0.25">
      <c r="B6" s="1605" t="s">
        <v>4</v>
      </c>
      <c r="C6" s="1605"/>
      <c r="D6" s="1605"/>
      <c r="E6" s="1605"/>
      <c r="F6" s="1605"/>
      <c r="G6" s="1605"/>
      <c r="H6" s="1605"/>
      <c r="I6" s="1605"/>
      <c r="J6" s="1605"/>
      <c r="K6" s="1605"/>
      <c r="L6" s="1605"/>
      <c r="M6" s="1605"/>
      <c r="N6" s="1605"/>
      <c r="O6" s="1605"/>
      <c r="P6" s="1605"/>
      <c r="Q6" s="1605"/>
      <c r="R6" s="1605"/>
      <c r="S6" s="1605"/>
      <c r="T6" s="1605"/>
      <c r="U6" s="1605"/>
      <c r="V6" s="1605"/>
      <c r="W6" s="1605"/>
      <c r="X6" s="1605"/>
      <c r="Y6" s="1605"/>
      <c r="Z6" s="1605"/>
      <c r="AA6" s="1605"/>
      <c r="AB6" s="1605"/>
      <c r="AC6" s="1605"/>
      <c r="AD6" s="1605"/>
      <c r="AE6" s="1605"/>
      <c r="AF6" s="1605"/>
      <c r="AG6" s="1605"/>
      <c r="AH6" s="1605"/>
      <c r="AI6" s="1605"/>
      <c r="AJ6" s="1605"/>
    </row>
    <row r="7" spans="2:36" s="151" customFormat="1" ht="34.5" customHeight="1" x14ac:dyDescent="0.25">
      <c r="B7" s="1598" t="s">
        <v>767</v>
      </c>
      <c r="C7" s="1485"/>
      <c r="D7" s="1598" t="s">
        <v>741</v>
      </c>
      <c r="E7" s="1600" t="s">
        <v>742</v>
      </c>
      <c r="F7" s="1485"/>
      <c r="G7" s="1602" t="s">
        <v>760</v>
      </c>
      <c r="H7" s="1603"/>
      <c r="I7" s="1604"/>
      <c r="J7" s="1602" t="s">
        <v>76</v>
      </c>
      <c r="K7" s="1603"/>
      <c r="L7" s="1604"/>
      <c r="M7" s="1597" t="s">
        <v>60</v>
      </c>
      <c r="N7" s="1597"/>
      <c r="O7" s="1597"/>
      <c r="P7" s="1597" t="s">
        <v>738</v>
      </c>
      <c r="Q7" s="1597"/>
      <c r="R7" s="1597"/>
      <c r="S7" s="1597" t="s">
        <v>739</v>
      </c>
      <c r="T7" s="1597"/>
      <c r="U7" s="1597"/>
      <c r="V7" s="1597" t="s">
        <v>736</v>
      </c>
      <c r="W7" s="1597"/>
      <c r="X7" s="1597"/>
      <c r="Y7" s="1597" t="s">
        <v>737</v>
      </c>
      <c r="Z7" s="1597"/>
      <c r="AA7" s="1597"/>
      <c r="AB7" s="1597" t="s">
        <v>63</v>
      </c>
      <c r="AC7" s="1597"/>
      <c r="AD7" s="1597"/>
      <c r="AE7" s="1597" t="s">
        <v>64</v>
      </c>
      <c r="AF7" s="1597"/>
      <c r="AG7" s="1597"/>
      <c r="AH7" s="1597" t="s">
        <v>735</v>
      </c>
      <c r="AI7" s="1597"/>
      <c r="AJ7" s="1597"/>
    </row>
    <row r="8" spans="2:36" s="14" customFormat="1" ht="34.5" customHeight="1" x14ac:dyDescent="0.25">
      <c r="B8" s="1599"/>
      <c r="C8" s="1487"/>
      <c r="D8" s="1599"/>
      <c r="E8" s="1601"/>
      <c r="F8" s="1487"/>
      <c r="G8" s="1488" t="s">
        <v>733</v>
      </c>
      <c r="H8" s="1489" t="s">
        <v>734</v>
      </c>
      <c r="I8" s="1490" t="s">
        <v>740</v>
      </c>
      <c r="J8" s="1491" t="s">
        <v>733</v>
      </c>
      <c r="K8" s="1491" t="s">
        <v>734</v>
      </c>
      <c r="L8" s="1491" t="s">
        <v>740</v>
      </c>
      <c r="M8" s="1492" t="s">
        <v>733</v>
      </c>
      <c r="N8" s="1493" t="s">
        <v>734</v>
      </c>
      <c r="O8" s="1493" t="s">
        <v>740</v>
      </c>
      <c r="P8" s="1492" t="s">
        <v>733</v>
      </c>
      <c r="Q8" s="1493" t="s">
        <v>734</v>
      </c>
      <c r="R8" s="1493" t="s">
        <v>740</v>
      </c>
      <c r="S8" s="1492" t="s">
        <v>733</v>
      </c>
      <c r="T8" s="1493" t="s">
        <v>734</v>
      </c>
      <c r="U8" s="1493" t="s">
        <v>740</v>
      </c>
      <c r="V8" s="1492" t="s">
        <v>733</v>
      </c>
      <c r="W8" s="1493" t="s">
        <v>734</v>
      </c>
      <c r="X8" s="1493" t="s">
        <v>740</v>
      </c>
      <c r="Y8" s="1492" t="s">
        <v>733</v>
      </c>
      <c r="Z8" s="1493" t="s">
        <v>734</v>
      </c>
      <c r="AA8" s="1489" t="s">
        <v>740</v>
      </c>
      <c r="AB8" s="1486" t="s">
        <v>733</v>
      </c>
      <c r="AC8" s="1520" t="s">
        <v>734</v>
      </c>
      <c r="AD8" s="1522" t="s">
        <v>740</v>
      </c>
      <c r="AE8" s="1521" t="s">
        <v>733</v>
      </c>
      <c r="AF8" s="1493" t="s">
        <v>734</v>
      </c>
      <c r="AG8" s="1493" t="s">
        <v>740</v>
      </c>
      <c r="AH8" s="1492" t="s">
        <v>733</v>
      </c>
      <c r="AI8" s="1489" t="s">
        <v>734</v>
      </c>
      <c r="AJ8" s="1522" t="s">
        <v>740</v>
      </c>
    </row>
    <row r="9" spans="2:36" s="14" customFormat="1" ht="6" customHeight="1" x14ac:dyDescent="0.25">
      <c r="B9" s="1494"/>
      <c r="C9" s="1494"/>
      <c r="D9" s="1495"/>
      <c r="E9" s="1496"/>
      <c r="F9" s="1494"/>
      <c r="G9" s="1494"/>
      <c r="H9" s="1497"/>
      <c r="I9" s="1494"/>
      <c r="J9" s="1494"/>
      <c r="K9" s="1494"/>
      <c r="L9" s="1494"/>
      <c r="M9" s="1494"/>
      <c r="N9" s="1494"/>
      <c r="O9" s="1494"/>
      <c r="P9" s="1494"/>
      <c r="Q9" s="1494"/>
      <c r="R9" s="1494"/>
      <c r="S9" s="1494"/>
      <c r="T9" s="1494"/>
      <c r="U9" s="1494"/>
      <c r="V9" s="1498"/>
      <c r="W9" s="1494"/>
      <c r="X9" s="1494"/>
      <c r="Y9" s="1494"/>
      <c r="Z9" s="1494"/>
      <c r="AA9" s="1494"/>
      <c r="AB9" s="1494"/>
      <c r="AC9" s="1494"/>
      <c r="AD9" s="1494"/>
      <c r="AE9" s="1494"/>
      <c r="AF9" s="1494"/>
      <c r="AG9" s="1494"/>
      <c r="AH9" s="1494"/>
      <c r="AI9" s="1494"/>
      <c r="AJ9" s="1494"/>
    </row>
    <row r="10" spans="2:36" s="1499" customFormat="1" ht="24" customHeight="1" x14ac:dyDescent="0.25">
      <c r="B10" s="1524" t="s">
        <v>17</v>
      </c>
      <c r="C10" s="1525"/>
      <c r="D10" s="1526">
        <f>G10+AB10+AE10+AH10</f>
        <v>11059579210.6</v>
      </c>
      <c r="E10" s="1527">
        <f>((G10*H10)+(AB10*AC10)+(AE10*AF10)+(AH10*AI10))/D10</f>
        <v>4.65E-2</v>
      </c>
      <c r="F10" s="1525"/>
      <c r="G10" s="1528">
        <f>G12+G16+G24+G26+G33</f>
        <v>9084776454.4500008</v>
      </c>
      <c r="H10" s="1529">
        <f>((G12*H12)+(G16*H16)+(G24*H24)+(G26*H26)+(G33*H33))/G10</f>
        <v>4.7100000000000003E-2</v>
      </c>
      <c r="I10" s="1530">
        <f>(($J$12*I12)+($J$16*I16)+($J$24*I24)+($J$26*I26)+($J$33*I33))/$J10</f>
        <v>6.15</v>
      </c>
      <c r="J10" s="1528">
        <f>J12+J16+J24+J26+J33</f>
        <v>548856782.88999999</v>
      </c>
      <c r="K10" s="1529">
        <f>(($J$12*K12)+($J$16*K16)+($J$24*K24)+($J$26*K26)+($J$33*K33))/$J10</f>
        <v>3.5200000000000002E-2</v>
      </c>
      <c r="L10" s="1530">
        <f>(($J$12*L12)+($J$16*L16)+($J$24*L24)+($J$26*L26)+($J$33*L33))/$J10</f>
        <v>2.2000000000000002</v>
      </c>
      <c r="M10" s="1528">
        <f>M12+M16+M24+M26+M33</f>
        <v>8535919671.5600004</v>
      </c>
      <c r="N10" s="1529">
        <f>((M12*N12)+(M16*N16)+(M24*N24)+(M26*N26)+(M33*N33))/M10</f>
        <v>4.7899999999999998E-2</v>
      </c>
      <c r="O10" s="1530">
        <f>(($M$12*O12)+($M$16*O16)+($M$24*O24)+($M$26*O26)+($M$33*O33))/$M10</f>
        <v>10.35</v>
      </c>
      <c r="P10" s="1528">
        <f>P12+P16+P24+P26+P33</f>
        <v>2910389428.27</v>
      </c>
      <c r="Q10" s="1531">
        <f>((P12*Q12)+(P16*Q16)+(P24*Q24)+(P26*Q26)+(P33*Q33))/P10</f>
        <v>4.9399999999999999E-2</v>
      </c>
      <c r="R10" s="1530">
        <f>(($P$12*R12)+($P$16*R16)+($P$24*R24)+($P$26*R26)+($P$33*R33))/$P10</f>
        <v>10.87</v>
      </c>
      <c r="S10" s="1528">
        <f>S12+S16+S24+S26+S33</f>
        <v>5414285592.8199997</v>
      </c>
      <c r="T10" s="1529">
        <f>((S12*T12)+(S16*T16)+(S24*T24)+(S26*T26)+(S33*T33))/S10</f>
        <v>4.7E-2</v>
      </c>
      <c r="U10" s="1530">
        <f>(($S$12*U12)+($S$16*U16)+($S$24*U24)+($S$26*U26)+($S$33*U33))/$S10</f>
        <v>10.25</v>
      </c>
      <c r="V10" s="1528">
        <f>V12+V16+V24+V26+V33</f>
        <v>197711916.50999999</v>
      </c>
      <c r="W10" s="1529">
        <f>((V12*W12)+(V16*W16)+(V24*W24)+(V26*W26)+(V33*W33))/V10</f>
        <v>5.0799999999999998E-2</v>
      </c>
      <c r="X10" s="1530">
        <f>(($V$12*X12)+($V$16*X16)+($V$24*X24)+($V$26*X26)+($V$33*X33))/$V10</f>
        <v>5.73</v>
      </c>
      <c r="Y10" s="1528">
        <f>Y12+Y16+Y24+Y26+Y33</f>
        <v>13532733.960000001</v>
      </c>
      <c r="Z10" s="1529">
        <f>((Y12*Z12)+(Y16*Z16)+(Y24*Z24)+(Y26*Z26)+(Y33*Z33))/Y10</f>
        <v>4.58E-2</v>
      </c>
      <c r="AA10" s="1530">
        <f>(($Y$12*AA12)+($Y$16*AA16)+($Y$24*AA24)+($Y$26*AA26)+($Y$33*AA33))/$Y10</f>
        <v>7.19</v>
      </c>
      <c r="AB10" s="1528">
        <f>AB12+AB16+AB24+AB26+AB33</f>
        <v>111459363.29000001</v>
      </c>
      <c r="AC10" s="1529">
        <f>((AB12*AC12)+(AB16*AC16)+(AB24*AC24)+(AB26*AC26)+(AB33*AC33))/AB10</f>
        <v>4.1500000000000002E-2</v>
      </c>
      <c r="AD10" s="1530">
        <f>(($AB$12*AD12)+($AB$16*AD16)+($AB$24*AD24)+($AB$26*AD26)+($AB$33*AD33))/$AB10</f>
        <v>3.8</v>
      </c>
      <c r="AE10" s="1528">
        <f>AE12+AE16+AE24+AE26+AE33</f>
        <v>1128798677.9100001</v>
      </c>
      <c r="AF10" s="1529">
        <f>((AE12*AF12)+(AE16*AF16)+(AE24*AF24)+(AE26*AF26)+(AE33*AF33))/AE10</f>
        <v>3.8899999999999997E-2</v>
      </c>
      <c r="AG10" s="1530">
        <f>(($AE$12*AG12)+($AE$16*AG16)+($AE$24*AG24)+($AE$26*AG26)+($AE$33*AG33))/$AE10</f>
        <v>1.01</v>
      </c>
      <c r="AH10" s="1528">
        <f>AH12+AH16+AH24+AH26+AH33</f>
        <v>734544714.95000005</v>
      </c>
      <c r="AI10" s="1529">
        <f>((AH12*AI12)+(AH16*AI16)+(AH24*AI24)+(AH26*AI26)+(AH33*AI33))/AH10</f>
        <v>5.0999999999999997E-2</v>
      </c>
      <c r="AJ10" s="1530">
        <f>(($AH$12*AJ12)+($AH$16*AJ16)+($AH$24*AJ24)+($AH$26*AJ26)+($AH$33*AJ33))/$AH10</f>
        <v>1.21</v>
      </c>
    </row>
    <row r="11" spans="2:36" s="14" customFormat="1" ht="6" customHeight="1" x14ac:dyDescent="0.25">
      <c r="B11" s="1532"/>
      <c r="C11" s="1532"/>
      <c r="D11" s="1533"/>
      <c r="E11" s="1534"/>
      <c r="F11" s="1532"/>
      <c r="G11" s="1532"/>
      <c r="H11" s="1535"/>
      <c r="I11" s="1535"/>
      <c r="J11" s="1532"/>
      <c r="K11" s="1535"/>
      <c r="L11" s="1535"/>
      <c r="M11" s="1532"/>
      <c r="N11" s="1535"/>
      <c r="O11" s="1535"/>
      <c r="P11" s="1535"/>
      <c r="Q11" s="1536"/>
      <c r="R11" s="1535"/>
      <c r="S11" s="1532"/>
      <c r="T11" s="1535"/>
      <c r="U11" s="1535"/>
      <c r="V11" s="1537"/>
      <c r="W11" s="1535"/>
      <c r="X11" s="1535"/>
      <c r="Y11" s="1532"/>
      <c r="Z11" s="1535"/>
      <c r="AA11" s="1535"/>
      <c r="AB11" s="1532"/>
      <c r="AC11" s="1535"/>
      <c r="AD11" s="1535"/>
      <c r="AE11" s="1532"/>
      <c r="AF11" s="1535"/>
      <c r="AG11" s="1535"/>
      <c r="AH11" s="1532"/>
      <c r="AI11" s="1535"/>
      <c r="AJ11" s="1535"/>
    </row>
    <row r="12" spans="2:36" s="147" customFormat="1" ht="31.5" customHeight="1" x14ac:dyDescent="0.25">
      <c r="B12" s="1565" t="s">
        <v>762</v>
      </c>
      <c r="C12" s="1500"/>
      <c r="D12" s="1538">
        <f>SUM(D13:D14)</f>
        <v>6646104389.3699999</v>
      </c>
      <c r="E12" s="1539">
        <f>((D13*E13)+(D14*E14))/D12</f>
        <v>4.58E-2</v>
      </c>
      <c r="F12" s="1500"/>
      <c r="G12" s="1538">
        <f>SUM(G13:G14)</f>
        <v>4784578598.8299999</v>
      </c>
      <c r="H12" s="1540">
        <f>((G13*H13)+(G14*H14))/G12</f>
        <v>4.7E-2</v>
      </c>
      <c r="I12" s="1541">
        <f>((G13*I13)+(G14*I14))/G12</f>
        <v>5.43</v>
      </c>
      <c r="J12" s="1538">
        <f t="shared" ref="J12:S12" si="0">SUM(J13:J14)</f>
        <v>512927528.72000003</v>
      </c>
      <c r="K12" s="1540">
        <f>((J13*K13)+(J14*K14))/J12</f>
        <v>3.49E-2</v>
      </c>
      <c r="L12" s="1541">
        <f>((J13*L13)+(J14*L14))/J12</f>
        <v>1.03</v>
      </c>
      <c r="M12" s="1538">
        <f>SUM(M13:M14)</f>
        <v>4271651070.1100001</v>
      </c>
      <c r="N12" s="1540">
        <f>((M13*N13)+(M14*N14))/M12</f>
        <v>4.8500000000000001E-2</v>
      </c>
      <c r="O12" s="1541">
        <f>((M13*O13)+(M14*O14))/M12</f>
        <v>5.97</v>
      </c>
      <c r="P12" s="1541">
        <f t="shared" si="0"/>
        <v>1517758102.45</v>
      </c>
      <c r="Q12" s="1540">
        <f>((P13*Q13)+(P14*Q14))/P12</f>
        <v>5.0299999999999997E-2</v>
      </c>
      <c r="R12" s="1541">
        <f>((P13*R13)+(P14*R14))/P12</f>
        <v>6.37</v>
      </c>
      <c r="S12" s="1538">
        <f t="shared" si="0"/>
        <v>2635470165.5999999</v>
      </c>
      <c r="T12" s="1540">
        <f>((S13*T13)+(S14*T14))/S12</f>
        <v>4.7399999999999998E-2</v>
      </c>
      <c r="U12" s="1541">
        <f>((S13*U13)+(S14*U14))/S12</f>
        <v>5.71</v>
      </c>
      <c r="V12" s="1538">
        <f>SUM(V13:V14)</f>
        <v>108019303.34999999</v>
      </c>
      <c r="W12" s="1540">
        <f>((V13*W13)+(V14*W14))/V12</f>
        <v>4.9599999999999998E-2</v>
      </c>
      <c r="X12" s="1541">
        <f>((V13*X13)+(V14*X14))/V12</f>
        <v>6.34</v>
      </c>
      <c r="Y12" s="1538">
        <f>SUM(Y13:Y14)</f>
        <v>10403498.710000001</v>
      </c>
      <c r="Z12" s="1540">
        <f>((Y13*Z13)+(Y14*Z14))/Y12</f>
        <v>4.8000000000000001E-2</v>
      </c>
      <c r="AA12" s="1541">
        <f>((Y13*AA13)+(Y14*AA14))/Y12</f>
        <v>6.46</v>
      </c>
      <c r="AB12" s="1538">
        <f>SUM(AB13:AB14)</f>
        <v>81801953.790000007</v>
      </c>
      <c r="AC12" s="1540">
        <f>((AB13*AC13)+(AB14*AC14))/AB12</f>
        <v>3.3500000000000002E-2</v>
      </c>
      <c r="AD12" s="1541">
        <f>((AB13*AD13)+(AB14*AD14))/AB12</f>
        <v>1.1000000000000001</v>
      </c>
      <c r="AE12" s="1538">
        <f t="shared" ref="AE12:AH12" si="1">SUM(AE13:AE14)</f>
        <v>1076875138.8</v>
      </c>
      <c r="AF12" s="1540">
        <f>((AE13*AF13)+(AE14*AF14))/AE12</f>
        <v>3.7999999999999999E-2</v>
      </c>
      <c r="AG12" s="1541">
        <f>((AE13*AG13)+(AE14*AG14))/AE12</f>
        <v>1.02</v>
      </c>
      <c r="AH12" s="1538">
        <f t="shared" si="1"/>
        <v>702848697.95000005</v>
      </c>
      <c r="AI12" s="1540">
        <f>((AH13*AI13)+(AH14*AI14))/AH12</f>
        <v>5.0599999999999999E-2</v>
      </c>
      <c r="AJ12" s="1541">
        <f>((AH13*AJ13)+(AH14*AJ14))/AH12</f>
        <v>1.2</v>
      </c>
    </row>
    <row r="13" spans="2:36" s="1475" customFormat="1" ht="18" customHeight="1" x14ac:dyDescent="0.25">
      <c r="B13" s="1476" t="s">
        <v>743</v>
      </c>
      <c r="C13" s="1500"/>
      <c r="D13" s="1506">
        <f>G13+AB13+AE13+AH13</f>
        <v>3805241890.71</v>
      </c>
      <c r="E13" s="1523">
        <f>((G13*H13)+(AB13*AC13)+(AE13*AF13)+(AH13*AI13))/D13</f>
        <v>4.2999999999999997E-2</v>
      </c>
      <c r="F13" s="1500"/>
      <c r="G13" s="1506">
        <f>J13+M13</f>
        <v>2487388357.3600001</v>
      </c>
      <c r="H13" s="1479">
        <f>((J13*K13)+(M13*N13))/G13</f>
        <v>4.3299999999999998E-2</v>
      </c>
      <c r="I13" s="1506">
        <f>((J13*L13)+(M13*O13))/G13</f>
        <v>4.28</v>
      </c>
      <c r="J13" s="1506">
        <v>437755095.89999998</v>
      </c>
      <c r="K13" s="1479">
        <v>3.2500000000000001E-2</v>
      </c>
      <c r="L13" s="1506">
        <v>0.14000000000000001</v>
      </c>
      <c r="M13" s="1506">
        <f>P13+S13+V13+Y13</f>
        <v>2049633261.46</v>
      </c>
      <c r="N13" s="1479">
        <f>((P13*Q13)+(S13*T13)+(V13*W13)+(Y13*Z13))/M13</f>
        <v>4.5600000000000002E-2</v>
      </c>
      <c r="O13" s="1506">
        <f>((P13*R13)+(S13*U13)+(V13*X13)+(Y13*AA13))/M13</f>
        <v>5.17</v>
      </c>
      <c r="P13" s="1506">
        <v>564231757.36000001</v>
      </c>
      <c r="Q13" s="1479">
        <v>4.6199999999999998E-2</v>
      </c>
      <c r="R13" s="1542">
        <v>6.92</v>
      </c>
      <c r="S13" s="1506">
        <v>1434753407.8699999</v>
      </c>
      <c r="T13" s="1479">
        <v>4.5499999999999999E-2</v>
      </c>
      <c r="U13" s="1506">
        <v>4.4000000000000004</v>
      </c>
      <c r="V13" s="1506">
        <v>46772375.689999998</v>
      </c>
      <c r="W13" s="1479">
        <v>4.3799999999999999E-2</v>
      </c>
      <c r="X13" s="1506">
        <v>7.59</v>
      </c>
      <c r="Y13" s="1506">
        <v>3875720.54</v>
      </c>
      <c r="Z13" s="1479">
        <v>3.8899999999999997E-2</v>
      </c>
      <c r="AA13" s="1506">
        <v>5.86</v>
      </c>
      <c r="AB13" s="1506">
        <v>50994044.32</v>
      </c>
      <c r="AC13" s="1479">
        <v>3.1099999999999999E-2</v>
      </c>
      <c r="AD13" s="1506">
        <v>1.5</v>
      </c>
      <c r="AE13" s="1506">
        <v>617566092.32000005</v>
      </c>
      <c r="AF13" s="1479">
        <v>3.5099999999999999E-2</v>
      </c>
      <c r="AG13" s="1506">
        <v>0.5</v>
      </c>
      <c r="AH13" s="1506">
        <f>+[7]ADMINISTRACIÓN!$I$11</f>
        <v>649293396.71000004</v>
      </c>
      <c r="AI13" s="1479">
        <v>5.04E-2</v>
      </c>
      <c r="AJ13" s="1506">
        <v>1.23</v>
      </c>
    </row>
    <row r="14" spans="2:36" s="1475" customFormat="1" ht="18" customHeight="1" x14ac:dyDescent="0.25">
      <c r="B14" s="1476" t="s">
        <v>744</v>
      </c>
      <c r="C14" s="1500"/>
      <c r="D14" s="1506">
        <f>G14+AB14+AE14+AH14</f>
        <v>2840862498.6599998</v>
      </c>
      <c r="E14" s="1523">
        <f>((G14*H14)+(AB14*AC14)+(AE14*AF14)+(AH14*AI14))/D14</f>
        <v>4.9500000000000002E-2</v>
      </c>
      <c r="F14" s="1500"/>
      <c r="G14" s="1506">
        <f>J14+M14</f>
        <v>2297190241.4699998</v>
      </c>
      <c r="H14" s="1479">
        <f>((J14*K14)+(M14*N14))/G14</f>
        <v>5.11E-2</v>
      </c>
      <c r="I14" s="1506">
        <f>((J14*L14)+(M14*O14))/G14</f>
        <v>6.68</v>
      </c>
      <c r="J14" s="1506">
        <v>75172432.819999993</v>
      </c>
      <c r="K14" s="1479">
        <v>4.9000000000000002E-2</v>
      </c>
      <c r="L14" s="1506">
        <v>6.18</v>
      </c>
      <c r="M14" s="1506">
        <f>P14+S14+V14+Y14</f>
        <v>2222017808.6500001</v>
      </c>
      <c r="N14" s="1479">
        <f>((P14*Q14)+(S14*T14)+(V14*W14)+(Y14*Z14))/M14</f>
        <v>5.1200000000000002E-2</v>
      </c>
      <c r="O14" s="1506">
        <f>((P14*R14)+(S14*U14)+(V14*X14)+(Y14*AA14))/M14</f>
        <v>6.7</v>
      </c>
      <c r="P14" s="1506">
        <v>953526345.09000003</v>
      </c>
      <c r="Q14" s="1479">
        <v>5.28E-2</v>
      </c>
      <c r="R14" s="1542">
        <v>6.05</v>
      </c>
      <c r="S14" s="1506">
        <v>1200716757.73</v>
      </c>
      <c r="T14" s="1479">
        <v>4.9700000000000001E-2</v>
      </c>
      <c r="U14" s="1506">
        <v>7.28</v>
      </c>
      <c r="V14" s="1506">
        <v>61246927.659999996</v>
      </c>
      <c r="W14" s="1479">
        <v>5.4100000000000002E-2</v>
      </c>
      <c r="X14" s="1506">
        <v>5.39</v>
      </c>
      <c r="Y14" s="1506">
        <v>6527778.1699999999</v>
      </c>
      <c r="Z14" s="1479">
        <v>5.3400000000000003E-2</v>
      </c>
      <c r="AA14" s="1506">
        <v>6.82</v>
      </c>
      <c r="AB14" s="1506">
        <v>30807909.469999999</v>
      </c>
      <c r="AC14" s="1479">
        <v>3.7600000000000001E-2</v>
      </c>
      <c r="AD14" s="1506">
        <v>0.45</v>
      </c>
      <c r="AE14" s="1506">
        <v>459309046.48000002</v>
      </c>
      <c r="AF14" s="1479">
        <v>4.1799999999999997E-2</v>
      </c>
      <c r="AG14" s="1506">
        <v>1.71</v>
      </c>
      <c r="AH14" s="1543">
        <v>53555301.240000002</v>
      </c>
      <c r="AI14" s="1480">
        <v>5.2600000000000001E-2</v>
      </c>
      <c r="AJ14" s="1506">
        <v>0.84</v>
      </c>
    </row>
    <row r="15" spans="2:36" s="151" customFormat="1" ht="6" customHeight="1" x14ac:dyDescent="0.25">
      <c r="B15" s="1476"/>
      <c r="C15" s="1511"/>
      <c r="D15" s="1504"/>
      <c r="E15" s="1507"/>
      <c r="F15" s="1511"/>
      <c r="G15" s="1506"/>
      <c r="H15" s="1479"/>
      <c r="I15" s="1479"/>
      <c r="J15" s="1506"/>
      <c r="K15" s="1479"/>
      <c r="L15" s="1479"/>
      <c r="M15" s="1506"/>
      <c r="N15" s="1479"/>
      <c r="O15" s="1479"/>
      <c r="P15" s="1479"/>
      <c r="Q15" s="1479"/>
      <c r="R15" s="1480"/>
      <c r="S15" s="1506"/>
      <c r="T15" s="1479"/>
      <c r="U15" s="1479"/>
      <c r="V15" s="1506"/>
      <c r="W15" s="1479"/>
      <c r="X15" s="1479"/>
      <c r="Y15" s="1506"/>
      <c r="Z15" s="1479"/>
      <c r="AA15" s="1479"/>
      <c r="AB15" s="1506"/>
      <c r="AC15" s="1479"/>
      <c r="AD15" s="1479"/>
      <c r="AE15" s="1506"/>
      <c r="AF15" s="1479"/>
      <c r="AG15" s="1479"/>
      <c r="AH15" s="1506"/>
      <c r="AI15" s="1479"/>
      <c r="AJ15" s="1479"/>
    </row>
    <row r="16" spans="2:36" s="147" customFormat="1" ht="18" customHeight="1" x14ac:dyDescent="0.25">
      <c r="B16" s="1502" t="s">
        <v>745</v>
      </c>
      <c r="C16" s="1500"/>
      <c r="D16" s="1544">
        <f>SUM(D17:D22)</f>
        <v>3552468690.1900001</v>
      </c>
      <c r="E16" s="1545">
        <f>((D17*E17)+(D18*E18)+(D19*E19)+(D20*E20)+(D21*E21)+(D22*E22))/D16</f>
        <v>4.7600000000000003E-2</v>
      </c>
      <c r="F16" s="1500"/>
      <c r="G16" s="1544">
        <f>SUM(G17:G22)</f>
        <v>3522811280.6900001</v>
      </c>
      <c r="H16" s="1546">
        <f>((G17*H17)+(G18*H18)+(G19*H19)+(G20*H20)+(G21*H21)+(G22*H22))/G16</f>
        <v>4.7399999999999998E-2</v>
      </c>
      <c r="I16" s="1547">
        <f>((G17*I17)+(G18*I18+G19*I19+G20*I20+G21*I21+G22*I22))/G16</f>
        <v>16.43</v>
      </c>
      <c r="J16" s="1544">
        <f>SUM(J17:J22)</f>
        <v>35929254.170000002</v>
      </c>
      <c r="K16" s="1546">
        <f>(($J$17*K17)+($J$18*K18)+($J$19*K19)+($J$20*K20)+($J$21*K21)+($J$22*K22))/$J16</f>
        <v>4.0099999999999997E-2</v>
      </c>
      <c r="L16" s="1548">
        <f>(($J$17*L17)+($J$18*L18)+($J$19*L19)+($J$20*L20)+($J$21*L21)+($J$22*L22))/$J16</f>
        <v>18.850000000000001</v>
      </c>
      <c r="M16" s="1544">
        <f>SUM(M17:M22)</f>
        <v>3486882026.52</v>
      </c>
      <c r="N16" s="1546">
        <f>((M17*N17)+(M18*N18)+(M19*N19)+(M20*N20)+(M21*N21)+(M22*N22))/M16</f>
        <v>4.7500000000000001E-2</v>
      </c>
      <c r="O16" s="1548">
        <f>(($M$17*O17)+($M$18*O18)+($M$19*O19)+($M$20*O20)+($M$21*O21)+($M$22*O22))/$M16</f>
        <v>16.41</v>
      </c>
      <c r="P16" s="1548">
        <f>SUM(P17:P22)</f>
        <v>1125743427.7</v>
      </c>
      <c r="Q16" s="1546">
        <f>((P17*Q17)+(P18*Q18)+(P19*Q19)+(P20*Q20)+(P21*Q21)+(P22*Q22))/P16</f>
        <v>4.9399999999999999E-2</v>
      </c>
      <c r="R16" s="1548">
        <f>(($P$17*R17)+($P$18*R18)+($P$19*R19)+($P$20*R20)+($P$21*R21)+($P$22*R22))/$P16</f>
        <v>17.73</v>
      </c>
      <c r="S16" s="1544">
        <f>SUM(S17:S22)</f>
        <v>2322973397.8600001</v>
      </c>
      <c r="T16" s="1546">
        <f>((S17*T17)+(S18*T18)+(S19*T19)+(S20*T20)+(S21*T21)+(S22*T22))/S16</f>
        <v>4.6800000000000001E-2</v>
      </c>
      <c r="U16" s="1548">
        <f>(($S$17*U17)+($S$18*U18)+($S$19*U19)+($S$20*U20)+($S$21*U21)+($S$22*U22))/$S16</f>
        <v>15.87</v>
      </c>
      <c r="V16" s="1544">
        <f>SUM(V17:V22)</f>
        <v>35428881.030000001</v>
      </c>
      <c r="W16" s="1546">
        <f>((V17*W17)+(V18*W18)+(V19*W19)+(V20*W20)+(V21*W21)+(V22*W22))/V16</f>
        <v>3.4799999999999998E-2</v>
      </c>
      <c r="X16" s="1548">
        <f>(($V$17*X17)+($V$18*X18)+($V$19*X19)+($V$20*X20)+($V$21*X21)+($V$22*X22))/$V16</f>
        <v>10.18</v>
      </c>
      <c r="Y16" s="1544">
        <f>SUM(Y17:Y22)</f>
        <v>2736319.93</v>
      </c>
      <c r="Z16" s="1546">
        <f>((Y17*Z17)+(Y18*Z18)+(Y19*Z19)+(Y20*Z20)+(Y21*Z21)+(Y22*Z22))/Y16</f>
        <v>3.5999999999999997E-2</v>
      </c>
      <c r="AA16" s="1548">
        <f>(($Y$17*AA17)+($Y$18*AA18)+($Y$19*AA19)+($Y$20*AA20)+($Y$21*AA21)+($Y$22*AA22))/$Y16</f>
        <v>10.87</v>
      </c>
      <c r="AB16" s="1544">
        <f>SUM(AB17:AB22)</f>
        <v>29657409.5</v>
      </c>
      <c r="AC16" s="1546">
        <f>(((AB17*AC17)+(AB18*AC18)+(AB19*AC19)+(AB20*AC20)+(AB21*AC21)+(AB22*AC22))/AB16)</f>
        <v>6.3700000000000007E-2</v>
      </c>
      <c r="AD16" s="1548">
        <f>(($AB$17*AD17)+($AB$18*AD18)+($AB$19*AD19)+($AB$20*AD20)+($AB$21*AD21)+($AB$22*AD22))/$AB16</f>
        <v>11.25</v>
      </c>
      <c r="AE16" s="1544">
        <f>SUM(AE17:AE22)</f>
        <v>0</v>
      </c>
      <c r="AF16" s="1546">
        <v>0</v>
      </c>
      <c r="AG16" s="1548">
        <v>0</v>
      </c>
      <c r="AH16" s="1544">
        <f>SUM(AH17:AH22)</f>
        <v>0</v>
      </c>
      <c r="AI16" s="1546">
        <v>0</v>
      </c>
      <c r="AJ16" s="1548">
        <v>0</v>
      </c>
    </row>
    <row r="17" spans="2:36" s="147" customFormat="1" ht="18" customHeight="1" x14ac:dyDescent="0.25">
      <c r="B17" s="1476" t="s">
        <v>746</v>
      </c>
      <c r="C17" s="1500"/>
      <c r="D17" s="1506">
        <f>G17+AB17+AE17+AH17</f>
        <v>26359200</v>
      </c>
      <c r="E17" s="1523">
        <f t="shared" ref="E17:E24" si="2">((G17*H17)+(AB17*AC17)+(AE17*AF17)+(AH17*AI17))/D17</f>
        <v>6.54E-2</v>
      </c>
      <c r="F17" s="1511"/>
      <c r="G17" s="1506">
        <f>J17+M17</f>
        <v>26359200</v>
      </c>
      <c r="H17" s="1479">
        <f>((J17*K17)+(M17*N17))/G17</f>
        <v>6.54E-2</v>
      </c>
      <c r="I17" s="1506">
        <f t="shared" ref="I17:I22" si="3">((J17*L17)+(M17*O17))/G17</f>
        <v>0.79</v>
      </c>
      <c r="J17" s="1506">
        <v>0</v>
      </c>
      <c r="K17" s="1479">
        <v>0</v>
      </c>
      <c r="L17" s="1506">
        <v>0</v>
      </c>
      <c r="M17" s="1506">
        <f t="shared" ref="M17:M22" si="4">P17+S17+V17+Y17</f>
        <v>26359200</v>
      </c>
      <c r="N17" s="1479">
        <f t="shared" ref="N17:N22" si="5">((P17*Q17)+(S17*T17)+(V17*W17)+(Y17*Z17))/M17</f>
        <v>6.54E-2</v>
      </c>
      <c r="O17" s="1506">
        <f>((P17*R17)+(S17*U17)+(V17*X17)+(Y17*AA17))/M17</f>
        <v>0.79</v>
      </c>
      <c r="P17" s="1506">
        <v>0</v>
      </c>
      <c r="Q17" s="1479">
        <v>0</v>
      </c>
      <c r="R17" s="1542">
        <v>0</v>
      </c>
      <c r="S17" s="1506">
        <v>26359200</v>
      </c>
      <c r="T17" s="1479">
        <v>6.54E-2</v>
      </c>
      <c r="U17" s="1506">
        <v>0.79</v>
      </c>
      <c r="V17" s="1506">
        <v>0</v>
      </c>
      <c r="W17" s="1479">
        <v>0</v>
      </c>
      <c r="X17" s="1506">
        <v>0</v>
      </c>
      <c r="Y17" s="1506">
        <v>0</v>
      </c>
      <c r="Z17" s="1479">
        <v>0</v>
      </c>
      <c r="AA17" s="1506">
        <v>0</v>
      </c>
      <c r="AB17" s="1506">
        <v>0</v>
      </c>
      <c r="AC17" s="1479">
        <v>0</v>
      </c>
      <c r="AD17" s="1506">
        <v>0</v>
      </c>
      <c r="AE17" s="1506">
        <v>0</v>
      </c>
      <c r="AF17" s="1479">
        <v>0</v>
      </c>
      <c r="AG17" s="1506">
        <v>0</v>
      </c>
      <c r="AH17" s="1506">
        <v>0</v>
      </c>
      <c r="AI17" s="1479">
        <v>0</v>
      </c>
      <c r="AJ17" s="1506">
        <v>0</v>
      </c>
    </row>
    <row r="18" spans="2:36" s="1475" customFormat="1" ht="18" customHeight="1" x14ac:dyDescent="0.25">
      <c r="B18" s="1476" t="s">
        <v>747</v>
      </c>
      <c r="C18" s="1477"/>
      <c r="D18" s="1506">
        <f t="shared" ref="D18:D24" si="6">G18+AB18+AE18+AH18</f>
        <v>1151219870</v>
      </c>
      <c r="E18" s="1523">
        <f t="shared" si="2"/>
        <v>4.1700000000000001E-2</v>
      </c>
      <c r="F18" s="1477"/>
      <c r="G18" s="1506">
        <f t="shared" ref="G18:G19" si="7">J18+M18</f>
        <v>1151219870</v>
      </c>
      <c r="H18" s="1479">
        <f>((J18*K18)+(M18*N18))/G18</f>
        <v>4.1700000000000001E-2</v>
      </c>
      <c r="I18" s="1506">
        <f t="shared" si="3"/>
        <v>7.85</v>
      </c>
      <c r="J18" s="1506">
        <v>0</v>
      </c>
      <c r="K18" s="1479">
        <v>0</v>
      </c>
      <c r="L18" s="1506">
        <v>0</v>
      </c>
      <c r="M18" s="1506">
        <f t="shared" si="4"/>
        <v>1151219870</v>
      </c>
      <c r="N18" s="1479">
        <f t="shared" si="5"/>
        <v>4.1700000000000001E-2</v>
      </c>
      <c r="O18" s="1506">
        <f t="shared" ref="O18:O24" si="8">((P18*R18)+(S18*U18)+(V18*X18)+(Y18*AA18))/M18</f>
        <v>7.85</v>
      </c>
      <c r="P18" s="1506">
        <v>382714589.25</v>
      </c>
      <c r="Q18" s="1479">
        <v>4.3900000000000002E-2</v>
      </c>
      <c r="R18" s="1542">
        <v>8.4</v>
      </c>
      <c r="S18" s="1506">
        <v>754511280.75</v>
      </c>
      <c r="T18" s="1479">
        <v>4.0800000000000003E-2</v>
      </c>
      <c r="U18" s="1506">
        <v>7.59</v>
      </c>
      <c r="V18" s="1506">
        <v>12386286.890000001</v>
      </c>
      <c r="W18" s="1479">
        <v>3.3599999999999998E-2</v>
      </c>
      <c r="X18" s="1506">
        <v>6.92</v>
      </c>
      <c r="Y18" s="1506">
        <v>1607713.11</v>
      </c>
      <c r="Z18" s="1479">
        <v>3.3599999999999998E-2</v>
      </c>
      <c r="AA18" s="1506">
        <v>6.92</v>
      </c>
      <c r="AB18" s="1506">
        <v>0</v>
      </c>
      <c r="AC18" s="1479">
        <v>0</v>
      </c>
      <c r="AD18" s="1506">
        <v>0</v>
      </c>
      <c r="AE18" s="1506">
        <v>0</v>
      </c>
      <c r="AF18" s="1479">
        <v>0</v>
      </c>
      <c r="AG18" s="1506">
        <v>0</v>
      </c>
      <c r="AH18" s="1506">
        <v>0</v>
      </c>
      <c r="AI18" s="1479">
        <v>0</v>
      </c>
      <c r="AJ18" s="1506">
        <v>0</v>
      </c>
    </row>
    <row r="19" spans="2:36" s="1475" customFormat="1" ht="18" customHeight="1" x14ac:dyDescent="0.25">
      <c r="B19" s="1476" t="s">
        <v>748</v>
      </c>
      <c r="C19" s="1477"/>
      <c r="D19" s="1506">
        <f t="shared" si="6"/>
        <v>119447893.59999999</v>
      </c>
      <c r="E19" s="1523">
        <f t="shared" si="2"/>
        <v>3.6799999999999999E-2</v>
      </c>
      <c r="F19" s="1477"/>
      <c r="G19" s="1506">
        <f t="shared" si="7"/>
        <v>119447893.59999999</v>
      </c>
      <c r="H19" s="1479">
        <f t="shared" ref="H19:H22" si="9">((J19*K19)+(M19*N19))/G19</f>
        <v>3.6799999999999999E-2</v>
      </c>
      <c r="I19" s="1506">
        <f t="shared" si="3"/>
        <v>1.81</v>
      </c>
      <c r="J19" s="1506">
        <v>0</v>
      </c>
      <c r="K19" s="1479">
        <v>0</v>
      </c>
      <c r="L19" s="1506">
        <v>0</v>
      </c>
      <c r="M19" s="1506">
        <f t="shared" si="4"/>
        <v>119447893.59999999</v>
      </c>
      <c r="N19" s="1479">
        <f t="shared" si="5"/>
        <v>3.6799999999999999E-2</v>
      </c>
      <c r="O19" s="1506">
        <f t="shared" si="8"/>
        <v>1.81</v>
      </c>
      <c r="P19" s="1506">
        <v>40071821.729999997</v>
      </c>
      <c r="Q19" s="1479">
        <v>3.7600000000000001E-2</v>
      </c>
      <c r="R19" s="1542">
        <v>1.71</v>
      </c>
      <c r="S19" s="1506">
        <v>69510549.359999999</v>
      </c>
      <c r="T19" s="1479">
        <v>3.7600000000000001E-2</v>
      </c>
      <c r="U19" s="1506">
        <v>1.71</v>
      </c>
      <c r="V19" s="1506">
        <v>9626529.6600000001</v>
      </c>
      <c r="W19" s="1479">
        <v>2.7900000000000001E-2</v>
      </c>
      <c r="X19" s="1506">
        <v>2.88</v>
      </c>
      <c r="Y19" s="1506">
        <v>238992.85</v>
      </c>
      <c r="Z19" s="1479">
        <v>2.81E-2</v>
      </c>
      <c r="AA19" s="1506">
        <v>2.85</v>
      </c>
      <c r="AB19" s="1506">
        <v>0</v>
      </c>
      <c r="AC19" s="1479">
        <v>0</v>
      </c>
      <c r="AD19" s="1506">
        <v>0</v>
      </c>
      <c r="AE19" s="1506">
        <v>0</v>
      </c>
      <c r="AF19" s="1479">
        <v>0</v>
      </c>
      <c r="AG19" s="1506">
        <v>0</v>
      </c>
      <c r="AH19" s="1506">
        <v>0</v>
      </c>
      <c r="AI19" s="1479">
        <v>0</v>
      </c>
      <c r="AJ19" s="1506">
        <v>0</v>
      </c>
    </row>
    <row r="20" spans="2:36" s="1475" customFormat="1" ht="18" customHeight="1" x14ac:dyDescent="0.25">
      <c r="B20" s="1476" t="s">
        <v>749</v>
      </c>
      <c r="C20" s="1477"/>
      <c r="D20" s="1506">
        <f t="shared" si="6"/>
        <v>1849705726.5899999</v>
      </c>
      <c r="E20" s="1523">
        <f t="shared" si="2"/>
        <v>5.4899999999999997E-2</v>
      </c>
      <c r="F20" s="1477"/>
      <c r="G20" s="1506">
        <f>J20+M20</f>
        <v>1820048317.0899999</v>
      </c>
      <c r="H20" s="1479">
        <f t="shared" si="9"/>
        <v>5.4800000000000001E-2</v>
      </c>
      <c r="I20" s="1506">
        <f t="shared" si="3"/>
        <v>25.34</v>
      </c>
      <c r="J20" s="1506">
        <v>23974008.25</v>
      </c>
      <c r="K20" s="1479">
        <f>Hoja9!I15</f>
        <v>4.5199999999999997E-2</v>
      </c>
      <c r="L20" s="1508">
        <v>25.71</v>
      </c>
      <c r="M20" s="1506">
        <f>P20+S20+V20+Y20</f>
        <v>1796074308.8399999</v>
      </c>
      <c r="N20" s="1479">
        <f t="shared" si="5"/>
        <v>5.4899999999999997E-2</v>
      </c>
      <c r="O20" s="1506">
        <f t="shared" si="8"/>
        <v>25.34</v>
      </c>
      <c r="P20" s="1508">
        <v>577494161.02999997</v>
      </c>
      <c r="Q20" s="1479">
        <v>5.7299999999999997E-2</v>
      </c>
      <c r="R20" s="1549">
        <v>27.41</v>
      </c>
      <c r="S20" s="1506">
        <v>1208217747.45</v>
      </c>
      <c r="T20" s="1479">
        <v>5.3900000000000003E-2</v>
      </c>
      <c r="U20" s="1508">
        <v>24.37</v>
      </c>
      <c r="V20" s="1506">
        <v>9648187.2400000002</v>
      </c>
      <c r="W20" s="1479">
        <v>4.5100000000000001E-2</v>
      </c>
      <c r="X20" s="1508">
        <v>23.62</v>
      </c>
      <c r="Y20" s="1506">
        <v>714213.12</v>
      </c>
      <c r="Z20" s="1479">
        <v>4.5499999999999999E-2</v>
      </c>
      <c r="AA20" s="1508">
        <v>23.88</v>
      </c>
      <c r="AB20" s="1506">
        <v>29657409.5</v>
      </c>
      <c r="AC20" s="1479">
        <v>6.3700000000000007E-2</v>
      </c>
      <c r="AD20" s="1508">
        <v>11.25</v>
      </c>
      <c r="AE20" s="1506">
        <v>0</v>
      </c>
      <c r="AF20" s="1479">
        <v>0</v>
      </c>
      <c r="AG20" s="1508">
        <v>0</v>
      </c>
      <c r="AH20" s="1506">
        <v>0</v>
      </c>
      <c r="AI20" s="1479">
        <v>0</v>
      </c>
      <c r="AJ20" s="1508">
        <v>0</v>
      </c>
    </row>
    <row r="21" spans="2:36" s="1475" customFormat="1" ht="18" customHeight="1" x14ac:dyDescent="0.25">
      <c r="B21" s="1476" t="s">
        <v>750</v>
      </c>
      <c r="C21" s="1477"/>
      <c r="D21" s="1506">
        <f t="shared" si="6"/>
        <v>205736000</v>
      </c>
      <c r="E21" s="1523">
        <f t="shared" si="2"/>
        <v>0.03</v>
      </c>
      <c r="F21" s="1477"/>
      <c r="G21" s="1506">
        <f t="shared" ref="G21:G22" si="10">J21+M21</f>
        <v>205736000</v>
      </c>
      <c r="H21" s="1479">
        <f t="shared" si="9"/>
        <v>0.03</v>
      </c>
      <c r="I21" s="1506">
        <f t="shared" si="3"/>
        <v>5.39</v>
      </c>
      <c r="J21" s="1506">
        <v>11955245.92</v>
      </c>
      <c r="K21" s="1479">
        <v>0.03</v>
      </c>
      <c r="L21" s="1508">
        <v>5.09</v>
      </c>
      <c r="M21" s="1506">
        <f t="shared" si="4"/>
        <v>193780754.08000001</v>
      </c>
      <c r="N21" s="1479">
        <f t="shared" si="5"/>
        <v>0.03</v>
      </c>
      <c r="O21" s="1506">
        <f t="shared" si="8"/>
        <v>5.41</v>
      </c>
      <c r="P21" s="1508">
        <f>Hoja10!F94</f>
        <v>43962855.689999998</v>
      </c>
      <c r="Q21" s="1479">
        <f>Hoja10!I94</f>
        <v>0.03</v>
      </c>
      <c r="R21" s="1549">
        <v>6.52</v>
      </c>
      <c r="S21" s="1506">
        <f>Hoja10!F219</f>
        <v>145874620.30000001</v>
      </c>
      <c r="T21" s="1479">
        <v>0.03</v>
      </c>
      <c r="U21" s="1508">
        <v>5.09</v>
      </c>
      <c r="V21" s="1506">
        <v>3767877.24</v>
      </c>
      <c r="W21" s="1479">
        <v>0.03</v>
      </c>
      <c r="X21" s="1508">
        <v>5.09</v>
      </c>
      <c r="Y21" s="1506">
        <v>175400.85</v>
      </c>
      <c r="Z21" s="1479">
        <v>0.03</v>
      </c>
      <c r="AA21" s="1508">
        <v>5.09</v>
      </c>
      <c r="AB21" s="1506">
        <v>0</v>
      </c>
      <c r="AC21" s="1479">
        <v>0</v>
      </c>
      <c r="AD21" s="1508">
        <v>0</v>
      </c>
      <c r="AE21" s="1506">
        <v>0</v>
      </c>
      <c r="AF21" s="1479">
        <v>0</v>
      </c>
      <c r="AG21" s="1508">
        <v>0</v>
      </c>
      <c r="AH21" s="1506">
        <v>0</v>
      </c>
      <c r="AI21" s="1479">
        <v>0</v>
      </c>
      <c r="AJ21" s="1508">
        <v>0</v>
      </c>
    </row>
    <row r="22" spans="2:36" s="1475" customFormat="1" ht="18" customHeight="1" x14ac:dyDescent="0.25">
      <c r="B22" s="1476" t="s">
        <v>751</v>
      </c>
      <c r="C22" s="1477"/>
      <c r="D22" s="1506">
        <f t="shared" si="6"/>
        <v>200000000</v>
      </c>
      <c r="E22" s="1523">
        <f t="shared" si="2"/>
        <v>3.5499999999999997E-2</v>
      </c>
      <c r="F22" s="1477"/>
      <c r="G22" s="1506">
        <f t="shared" si="10"/>
        <v>200000000</v>
      </c>
      <c r="H22" s="1479">
        <f t="shared" si="9"/>
        <v>3.5499999999999997E-2</v>
      </c>
      <c r="I22" s="1506">
        <f t="shared" si="3"/>
        <v>6.89</v>
      </c>
      <c r="J22" s="1506">
        <v>0</v>
      </c>
      <c r="K22" s="1479">
        <v>0</v>
      </c>
      <c r="L22" s="1506">
        <v>0</v>
      </c>
      <c r="M22" s="1506">
        <f t="shared" si="4"/>
        <v>200000000</v>
      </c>
      <c r="N22" s="1479">
        <f t="shared" si="5"/>
        <v>3.5499999999999997E-2</v>
      </c>
      <c r="O22" s="1506">
        <f t="shared" si="8"/>
        <v>6.89</v>
      </c>
      <c r="P22" s="1506">
        <f>Hoja10!F95+Hoja10!F96</f>
        <v>81500000</v>
      </c>
      <c r="Q22" s="1479">
        <f>Hoja10!I97</f>
        <v>3.5499999999999997E-2</v>
      </c>
      <c r="R22" s="1542">
        <v>6.9</v>
      </c>
      <c r="S22" s="1506">
        <f>SUM(Hoja10!F220:F223)</f>
        <v>118500000</v>
      </c>
      <c r="T22" s="1479">
        <f>Hoja10!I224</f>
        <v>3.5499999999999997E-2</v>
      </c>
      <c r="U22" s="1506">
        <v>6.88</v>
      </c>
      <c r="V22" s="1506">
        <v>0</v>
      </c>
      <c r="W22" s="1479">
        <v>0</v>
      </c>
      <c r="X22" s="1506">
        <v>0</v>
      </c>
      <c r="Y22" s="1506">
        <v>0</v>
      </c>
      <c r="Z22" s="1479">
        <v>0</v>
      </c>
      <c r="AA22" s="1506">
        <v>0</v>
      </c>
      <c r="AB22" s="1506">
        <v>0</v>
      </c>
      <c r="AC22" s="1479">
        <v>0</v>
      </c>
      <c r="AD22" s="1506">
        <v>0</v>
      </c>
      <c r="AE22" s="1506">
        <v>0</v>
      </c>
      <c r="AF22" s="1479">
        <v>0</v>
      </c>
      <c r="AG22" s="1506">
        <v>0</v>
      </c>
      <c r="AH22" s="1506">
        <v>0</v>
      </c>
      <c r="AI22" s="1479">
        <v>0</v>
      </c>
      <c r="AJ22" s="1506">
        <v>0</v>
      </c>
    </row>
    <row r="23" spans="2:36" s="1475" customFormat="1" ht="6" customHeight="1" x14ac:dyDescent="0.25">
      <c r="B23" s="1504"/>
      <c r="C23" s="1477"/>
      <c r="D23" s="1504"/>
      <c r="E23" s="1505"/>
      <c r="F23" s="1477"/>
      <c r="G23" s="1506"/>
      <c r="H23" s="1479"/>
      <c r="I23" s="1479"/>
      <c r="J23" s="1506"/>
      <c r="K23" s="1479"/>
      <c r="L23" s="1479"/>
      <c r="M23" s="1506"/>
      <c r="N23" s="1479"/>
      <c r="O23" s="1479"/>
      <c r="P23" s="1479"/>
      <c r="Q23" s="1479"/>
      <c r="R23" s="1480"/>
      <c r="S23" s="1506"/>
      <c r="T23" s="1479"/>
      <c r="U23" s="1479"/>
      <c r="V23" s="1506"/>
      <c r="W23" s="1479"/>
      <c r="X23" s="1479"/>
      <c r="Y23" s="1506"/>
      <c r="Z23" s="1479"/>
      <c r="AA23" s="1479"/>
      <c r="AB23" s="1506"/>
      <c r="AC23" s="1479"/>
      <c r="AD23" s="1479"/>
      <c r="AE23" s="1506"/>
      <c r="AF23" s="1479"/>
      <c r="AG23" s="1479"/>
      <c r="AH23" s="1506"/>
      <c r="AI23" s="1479"/>
      <c r="AJ23" s="1479"/>
    </row>
    <row r="24" spans="2:36" s="1475" customFormat="1" ht="18" customHeight="1" x14ac:dyDescent="0.25">
      <c r="B24" s="1502" t="s">
        <v>752</v>
      </c>
      <c r="C24" s="1477"/>
      <c r="D24" s="1544">
        <f t="shared" si="6"/>
        <v>516635131.04000002</v>
      </c>
      <c r="E24" s="1545">
        <f t="shared" si="2"/>
        <v>5.0799999999999998E-2</v>
      </c>
      <c r="F24" s="1500"/>
      <c r="G24" s="1544">
        <f>J24+M24</f>
        <v>483015574.93000001</v>
      </c>
      <c r="H24" s="1546">
        <f>((J24*K24)+(M24*N24))/G24</f>
        <v>5.0099999999999999E-2</v>
      </c>
      <c r="I24" s="1544">
        <f>((J24*L24)+(M24*O24))/G24</f>
        <v>3.54</v>
      </c>
      <c r="J24" s="1544">
        <v>0</v>
      </c>
      <c r="K24" s="1546">
        <v>0</v>
      </c>
      <c r="L24" s="1544">
        <v>0</v>
      </c>
      <c r="M24" s="1544">
        <f>P24+S24+V24+Y24</f>
        <v>483015574.93000001</v>
      </c>
      <c r="N24" s="1546">
        <f>((P24*Q24)+(S24*T24)+(V24*W24)+(Y24*Z24))/M24</f>
        <v>5.0099999999999999E-2</v>
      </c>
      <c r="O24" s="1544">
        <f t="shared" si="8"/>
        <v>3.54</v>
      </c>
      <c r="P24" s="1544">
        <f>63000000+63000000+31500000+212.35</f>
        <v>157500212.34999999</v>
      </c>
      <c r="Q24" s="1546">
        <v>4.7600000000000003E-2</v>
      </c>
      <c r="R24" s="1550">
        <v>3.8</v>
      </c>
      <c r="S24" s="1544">
        <v>270858715.13</v>
      </c>
      <c r="T24" s="1546">
        <v>4.8899999999999999E-2</v>
      </c>
      <c r="U24" s="1544">
        <v>3.78</v>
      </c>
      <c r="V24" s="1544">
        <v>54263732.130000003</v>
      </c>
      <c r="W24" s="1546">
        <v>6.3600000000000004E-2</v>
      </c>
      <c r="X24" s="1544">
        <v>1.61</v>
      </c>
      <c r="Y24" s="1544">
        <v>392915.32</v>
      </c>
      <c r="Z24" s="1546">
        <v>5.6000000000000001E-2</v>
      </c>
      <c r="AA24" s="1544">
        <v>1</v>
      </c>
      <c r="AB24" s="1544">
        <v>0</v>
      </c>
      <c r="AC24" s="1546">
        <v>0</v>
      </c>
      <c r="AD24" s="1544">
        <v>0</v>
      </c>
      <c r="AE24" s="1544">
        <v>1923539.11</v>
      </c>
      <c r="AF24" s="1546">
        <v>0.06</v>
      </c>
      <c r="AG24" s="1544">
        <v>1</v>
      </c>
      <c r="AH24" s="1544">
        <v>31696017</v>
      </c>
      <c r="AI24" s="1546">
        <v>6.0999999999999999E-2</v>
      </c>
      <c r="AJ24" s="1544">
        <v>1.53</v>
      </c>
    </row>
    <row r="25" spans="2:36" s="151" customFormat="1" ht="6" customHeight="1" x14ac:dyDescent="0.25">
      <c r="B25" s="1476"/>
      <c r="C25" s="1511"/>
      <c r="D25" s="1504"/>
      <c r="E25" s="1507"/>
      <c r="F25" s="1477"/>
      <c r="G25" s="1506"/>
      <c r="H25" s="1479"/>
      <c r="I25" s="1479"/>
      <c r="J25" s="1506"/>
      <c r="K25" s="1479"/>
      <c r="L25" s="1479"/>
      <c r="M25" s="1506"/>
      <c r="N25" s="1479"/>
      <c r="O25" s="1479"/>
      <c r="P25" s="1479"/>
      <c r="Q25" s="1479"/>
      <c r="R25" s="1480"/>
      <c r="S25" s="1506"/>
      <c r="T25" s="1479"/>
      <c r="U25" s="1479"/>
      <c r="V25" s="1508"/>
      <c r="W25" s="1479"/>
      <c r="X25" s="1479"/>
      <c r="Y25" s="1506"/>
      <c r="Z25" s="1479"/>
      <c r="AA25" s="1479"/>
      <c r="AB25" s="1506"/>
      <c r="AC25" s="1479"/>
      <c r="AD25" s="1479"/>
      <c r="AE25" s="1506"/>
      <c r="AF25" s="1479"/>
      <c r="AG25" s="1479"/>
      <c r="AH25" s="1506"/>
      <c r="AI25" s="1479"/>
      <c r="AJ25" s="1479"/>
    </row>
    <row r="26" spans="2:36" s="147" customFormat="1" ht="18" customHeight="1" x14ac:dyDescent="0.25">
      <c r="B26" s="1502" t="s">
        <v>753</v>
      </c>
      <c r="C26" s="1505"/>
      <c r="D26" s="1544">
        <f>SUM(D27:D31)</f>
        <v>144371000</v>
      </c>
      <c r="E26" s="1545">
        <f>+(D27*E27+D28*E28+D29*E29+D30*E30+D31*E31)/D26</f>
        <v>5.5100000000000003E-2</v>
      </c>
      <c r="F26" s="1511"/>
      <c r="G26" s="1544">
        <f>SUM(G27:G31)</f>
        <v>94371000</v>
      </c>
      <c r="H26" s="1546">
        <f>+(G27*H27+G28*H28+G29*H29+G30*H30+G31*H31)/G26</f>
        <v>5.4100000000000002E-2</v>
      </c>
      <c r="I26" s="1547">
        <f>((G27*I27)+(G28*I28+G29*I29+G30*I30+G31*I31))/G26</f>
        <v>3.31</v>
      </c>
      <c r="J26" s="1544">
        <f>SUM(J27:J31)</f>
        <v>0</v>
      </c>
      <c r="K26" s="1546">
        <f>SUM(K27:K31)</f>
        <v>0</v>
      </c>
      <c r="L26" s="1544">
        <f>SUM(L27:L31)</f>
        <v>0</v>
      </c>
      <c r="M26" s="1544">
        <f>SUM(M27:M31)</f>
        <v>94371000</v>
      </c>
      <c r="N26" s="1546">
        <f>+(M27*N27+M28*N28+M29*N29+M30*N30+M31*N31)/M26</f>
        <v>5.4100000000000002E-2</v>
      </c>
      <c r="O26" s="1548">
        <f>(($M$27*O27)+($M$28*O28)+($M$29*O29)+($M$30*O30)+($M$31*O31))/$M26</f>
        <v>3.31</v>
      </c>
      <c r="P26" s="1544">
        <f>SUM(P27:P31)</f>
        <v>37505548.609999999</v>
      </c>
      <c r="Q26" s="1546">
        <f>+(P27*Q27+P28*Q28+P29*Q29+P31*Q31)/P26</f>
        <v>4.7300000000000002E-2</v>
      </c>
      <c r="R26" s="1548">
        <f>+(P27*R27+P28*R28+P29*R29+P30*R30+P31*R31)/P26</f>
        <v>2.41</v>
      </c>
      <c r="S26" s="1544">
        <f>SUM(S27:S31)</f>
        <v>56865451.390000001</v>
      </c>
      <c r="T26" s="1546">
        <f>+(S27*T27+S28*T28+S29*T29+S30*T30+S31*T31)/S26</f>
        <v>5.8599999999999999E-2</v>
      </c>
      <c r="U26" s="1548">
        <f>+(S27*U27+S28*U28+S29*U29+S30*U30+S31*U31)/S26</f>
        <v>3.91</v>
      </c>
      <c r="V26" s="1548">
        <v>0</v>
      </c>
      <c r="W26" s="1546">
        <v>0</v>
      </c>
      <c r="X26" s="1548">
        <v>0</v>
      </c>
      <c r="Y26" s="1544">
        <v>0</v>
      </c>
      <c r="Z26" s="1546">
        <v>0</v>
      </c>
      <c r="AA26" s="1544">
        <v>0</v>
      </c>
      <c r="AB26" s="1544">
        <f t="shared" ref="AB26:AI26" si="11">SUM(AB27:AB31)</f>
        <v>0</v>
      </c>
      <c r="AC26" s="1546">
        <f t="shared" si="11"/>
        <v>0</v>
      </c>
      <c r="AD26" s="1544">
        <v>0</v>
      </c>
      <c r="AE26" s="1544">
        <f t="shared" si="11"/>
        <v>50000000</v>
      </c>
      <c r="AF26" s="1546">
        <f>((AE27*AF27)+(AE29*AF29))/AE26</f>
        <v>5.7000000000000002E-2</v>
      </c>
      <c r="AG26" s="1548">
        <f>+(AE27*AG27+AE28*AG28+AE29*AG29+AE30*AG30+AE31*AG31)/AE26</f>
        <v>0.88</v>
      </c>
      <c r="AH26" s="1544">
        <f t="shared" si="11"/>
        <v>0</v>
      </c>
      <c r="AI26" s="1546">
        <f t="shared" si="11"/>
        <v>0</v>
      </c>
      <c r="AJ26" s="1544">
        <v>0</v>
      </c>
    </row>
    <row r="27" spans="2:36" s="147" customFormat="1" ht="18" customHeight="1" x14ac:dyDescent="0.25">
      <c r="B27" s="1476" t="s">
        <v>754</v>
      </c>
      <c r="C27" s="1505"/>
      <c r="D27" s="1506">
        <f t="shared" ref="D27:D33" si="12">G27+AB27+AE27+AH27</f>
        <v>20000000</v>
      </c>
      <c r="E27" s="1523">
        <f t="shared" ref="E27:E31" si="13">((G27*H27)+(AB27*AC27)+(AE27*AF27)+(AH27*AI27))/D27</f>
        <v>0.06</v>
      </c>
      <c r="F27" s="1511"/>
      <c r="G27" s="1506">
        <f>J27+M27</f>
        <v>0</v>
      </c>
      <c r="H27" s="1479">
        <v>0</v>
      </c>
      <c r="I27" s="1506">
        <v>0</v>
      </c>
      <c r="J27" s="1506">
        <v>0</v>
      </c>
      <c r="K27" s="1479">
        <v>0</v>
      </c>
      <c r="L27" s="1506">
        <v>0</v>
      </c>
      <c r="M27" s="1506">
        <f>P27+S27+V27+Y27</f>
        <v>0</v>
      </c>
      <c r="N27" s="1479">
        <v>0</v>
      </c>
      <c r="O27" s="1506">
        <v>0</v>
      </c>
      <c r="P27" s="1506">
        <v>0</v>
      </c>
      <c r="Q27" s="1479">
        <v>0</v>
      </c>
      <c r="R27" s="1542">
        <v>0</v>
      </c>
      <c r="S27" s="1506">
        <v>0</v>
      </c>
      <c r="T27" s="1479">
        <v>0</v>
      </c>
      <c r="U27" s="1506">
        <v>0</v>
      </c>
      <c r="V27" s="1508">
        <v>0</v>
      </c>
      <c r="W27" s="1479">
        <v>0</v>
      </c>
      <c r="X27" s="1506">
        <v>0</v>
      </c>
      <c r="Y27" s="1506">
        <v>0</v>
      </c>
      <c r="Z27" s="1479">
        <v>0</v>
      </c>
      <c r="AA27" s="1506">
        <v>0</v>
      </c>
      <c r="AB27" s="1506">
        <v>0</v>
      </c>
      <c r="AC27" s="1479">
        <v>0</v>
      </c>
      <c r="AD27" s="1506">
        <v>0</v>
      </c>
      <c r="AE27" s="1506">
        <v>20000000</v>
      </c>
      <c r="AF27" s="1479">
        <v>0.06</v>
      </c>
      <c r="AG27" s="1506">
        <v>1.1000000000000001</v>
      </c>
      <c r="AH27" s="1506">
        <v>0</v>
      </c>
      <c r="AI27" s="1479">
        <v>0</v>
      </c>
      <c r="AJ27" s="1506">
        <v>0</v>
      </c>
    </row>
    <row r="28" spans="2:36" s="147" customFormat="1" ht="18" customHeight="1" x14ac:dyDescent="0.25">
      <c r="B28" s="1476" t="s">
        <v>756</v>
      </c>
      <c r="C28" s="1505"/>
      <c r="D28" s="1506">
        <f t="shared" si="12"/>
        <v>34371000</v>
      </c>
      <c r="E28" s="1523">
        <f t="shared" si="13"/>
        <v>4.4699999999999997E-2</v>
      </c>
      <c r="F28" s="1500"/>
      <c r="G28" s="1551">
        <f>J28+M28</f>
        <v>34371000</v>
      </c>
      <c r="H28" s="1552">
        <f>((J28*K28)+(M28*N28))/G28</f>
        <v>4.4699999999999997E-2</v>
      </c>
      <c r="I28" s="1506">
        <f t="shared" ref="I28:I33" si="14">((J28*L28)+(M28*O28))/G28</f>
        <v>4.2300000000000004</v>
      </c>
      <c r="J28" s="1506">
        <v>0</v>
      </c>
      <c r="K28" s="1479">
        <v>0</v>
      </c>
      <c r="L28" s="1506">
        <v>0</v>
      </c>
      <c r="M28" s="1506">
        <f>P28+S28+V28+Y28</f>
        <v>34371000</v>
      </c>
      <c r="N28" s="1479">
        <f>((P28*Q28)+(S28*T28)+(V28*W28)+(Y28*Z28))/M28</f>
        <v>4.4699999999999997E-2</v>
      </c>
      <c r="O28" s="1506">
        <f t="shared" ref="O28:O33" si="15">((P28*R28)+(S28*U28)+(V28*X28)+(Y28*AA28))/M28</f>
        <v>4.2300000000000004</v>
      </c>
      <c r="P28" s="1506">
        <f>Hoja10!F97</f>
        <v>26407020</v>
      </c>
      <c r="Q28" s="1479">
        <f>Hoja10!I100</f>
        <v>4.19E-2</v>
      </c>
      <c r="R28" s="1542">
        <v>3.11</v>
      </c>
      <c r="S28" s="1506">
        <f>Hoja10!F225</f>
        <v>7963980</v>
      </c>
      <c r="T28" s="1479">
        <v>5.3999999999999999E-2</v>
      </c>
      <c r="U28" s="1506">
        <v>7.96</v>
      </c>
      <c r="V28" s="1508">
        <v>0</v>
      </c>
      <c r="W28" s="1479">
        <v>0</v>
      </c>
      <c r="X28" s="1506">
        <v>0</v>
      </c>
      <c r="Y28" s="1506">
        <v>0</v>
      </c>
      <c r="Z28" s="1479">
        <v>0</v>
      </c>
      <c r="AA28" s="1506">
        <v>0</v>
      </c>
      <c r="AB28" s="1506">
        <v>0</v>
      </c>
      <c r="AC28" s="1479">
        <v>0</v>
      </c>
      <c r="AD28" s="1506">
        <v>0</v>
      </c>
      <c r="AE28" s="1506">
        <v>0</v>
      </c>
      <c r="AF28" s="1479">
        <v>0</v>
      </c>
      <c r="AG28" s="1506">
        <v>0</v>
      </c>
      <c r="AH28" s="1506">
        <v>0</v>
      </c>
      <c r="AI28" s="1479">
        <v>0</v>
      </c>
      <c r="AJ28" s="1506">
        <v>0</v>
      </c>
    </row>
    <row r="29" spans="2:36" s="147" customFormat="1" ht="18" customHeight="1" x14ac:dyDescent="0.25">
      <c r="B29" s="1476" t="s">
        <v>757</v>
      </c>
      <c r="C29" s="1505"/>
      <c r="D29" s="1506">
        <f t="shared" si="12"/>
        <v>30000000</v>
      </c>
      <c r="E29" s="1523">
        <f t="shared" si="13"/>
        <v>5.5E-2</v>
      </c>
      <c r="F29" s="1500"/>
      <c r="G29" s="1551">
        <f>J29+M29</f>
        <v>0</v>
      </c>
      <c r="H29" s="1479">
        <v>0</v>
      </c>
      <c r="I29" s="1506">
        <v>0</v>
      </c>
      <c r="J29" s="1506">
        <v>0</v>
      </c>
      <c r="K29" s="1479">
        <v>0</v>
      </c>
      <c r="L29" s="1506">
        <v>0</v>
      </c>
      <c r="M29" s="1506">
        <f>P29+S29+V29+Y29</f>
        <v>0</v>
      </c>
      <c r="N29" s="1479">
        <v>0</v>
      </c>
      <c r="O29" s="1506">
        <v>0</v>
      </c>
      <c r="P29" s="1506">
        <v>0</v>
      </c>
      <c r="Q29" s="1479">
        <v>0</v>
      </c>
      <c r="R29" s="1542">
        <v>0</v>
      </c>
      <c r="S29" s="1506">
        <v>0</v>
      </c>
      <c r="T29" s="1479">
        <v>0</v>
      </c>
      <c r="U29" s="1506">
        <v>0</v>
      </c>
      <c r="V29" s="1508">
        <v>0</v>
      </c>
      <c r="W29" s="1479">
        <v>0</v>
      </c>
      <c r="X29" s="1506">
        <v>0</v>
      </c>
      <c r="Y29" s="1506">
        <v>0</v>
      </c>
      <c r="Z29" s="1479">
        <v>0</v>
      </c>
      <c r="AA29" s="1506">
        <v>0</v>
      </c>
      <c r="AB29" s="1506">
        <v>0</v>
      </c>
      <c r="AC29" s="1479">
        <v>0</v>
      </c>
      <c r="AD29" s="1506">
        <v>0</v>
      </c>
      <c r="AE29" s="1506">
        <v>30000000</v>
      </c>
      <c r="AF29" s="1479">
        <v>5.5E-2</v>
      </c>
      <c r="AG29" s="1506">
        <v>0.74</v>
      </c>
      <c r="AH29" s="1506">
        <v>0</v>
      </c>
      <c r="AI29" s="1479">
        <v>0</v>
      </c>
      <c r="AJ29" s="1506">
        <v>0</v>
      </c>
    </row>
    <row r="30" spans="2:36" s="147" customFormat="1" ht="18" customHeight="1" x14ac:dyDescent="0.25">
      <c r="B30" s="1476" t="s">
        <v>757</v>
      </c>
      <c r="C30" s="1505"/>
      <c r="D30" s="1506">
        <f t="shared" si="12"/>
        <v>30000000</v>
      </c>
      <c r="E30" s="1523">
        <f t="shared" si="13"/>
        <v>5.8999999999999997E-2</v>
      </c>
      <c r="F30" s="1500"/>
      <c r="G30" s="1551">
        <f>J30+M30</f>
        <v>30000000</v>
      </c>
      <c r="H30" s="1552">
        <f>((J30*K30)+(M30*N30))/G30</f>
        <v>5.8999999999999997E-2</v>
      </c>
      <c r="I30" s="1506">
        <f t="shared" si="14"/>
        <v>4.82</v>
      </c>
      <c r="J30" s="1506">
        <v>0</v>
      </c>
      <c r="K30" s="1479">
        <v>0</v>
      </c>
      <c r="L30" s="1506">
        <v>0</v>
      </c>
      <c r="M30" s="1506">
        <f>P30+S30+V30+Y30</f>
        <v>30000000</v>
      </c>
      <c r="N30" s="1479">
        <f>((P30*Q30)+(S30*T30)+(V30*W30)+(Y30*Z30))/M30</f>
        <v>5.8999999999999997E-2</v>
      </c>
      <c r="O30" s="1506">
        <f t="shared" si="15"/>
        <v>4.82</v>
      </c>
      <c r="P30" s="1506">
        <v>0</v>
      </c>
      <c r="Q30" s="1479">
        <v>0</v>
      </c>
      <c r="R30" s="1542">
        <v>0</v>
      </c>
      <c r="S30" s="1506">
        <v>30000000</v>
      </c>
      <c r="T30" s="1479">
        <v>5.8999999999999997E-2</v>
      </c>
      <c r="U30" s="1506">
        <v>4.82</v>
      </c>
      <c r="V30" s="1508">
        <v>0</v>
      </c>
      <c r="W30" s="1479">
        <v>0</v>
      </c>
      <c r="X30" s="1506">
        <v>0</v>
      </c>
      <c r="Y30" s="1506">
        <v>0</v>
      </c>
      <c r="Z30" s="1479">
        <v>0</v>
      </c>
      <c r="AA30" s="1506">
        <v>0</v>
      </c>
      <c r="AB30" s="1506">
        <v>0</v>
      </c>
      <c r="AC30" s="1479">
        <v>0</v>
      </c>
      <c r="AD30" s="1506">
        <v>0</v>
      </c>
      <c r="AE30" s="1506">
        <v>0</v>
      </c>
      <c r="AF30" s="1479">
        <v>0</v>
      </c>
      <c r="AG30" s="1506">
        <v>0</v>
      </c>
      <c r="AH30" s="1506">
        <v>0</v>
      </c>
      <c r="AI30" s="1479">
        <v>0</v>
      </c>
      <c r="AJ30" s="1506">
        <v>0</v>
      </c>
    </row>
    <row r="31" spans="2:36" s="147" customFormat="1" ht="18" customHeight="1" x14ac:dyDescent="0.25">
      <c r="B31" s="1476" t="s">
        <v>758</v>
      </c>
      <c r="C31" s="1505"/>
      <c r="D31" s="1506">
        <f t="shared" si="12"/>
        <v>30000000</v>
      </c>
      <c r="E31" s="1523">
        <f t="shared" si="13"/>
        <v>0.06</v>
      </c>
      <c r="F31" s="1511"/>
      <c r="G31" s="1551">
        <f>J31+M31</f>
        <v>30000000</v>
      </c>
      <c r="H31" s="1552">
        <f>((J31*K31)+(M31*N31))/G31</f>
        <v>0.06</v>
      </c>
      <c r="I31" s="1506">
        <f t="shared" si="14"/>
        <v>0.76</v>
      </c>
      <c r="J31" s="1506">
        <v>0</v>
      </c>
      <c r="K31" s="1479">
        <v>0</v>
      </c>
      <c r="L31" s="1506">
        <v>0</v>
      </c>
      <c r="M31" s="1506">
        <f>P31+S31+V31+Y31</f>
        <v>30000000</v>
      </c>
      <c r="N31" s="1479">
        <f>((P31*Q31)+(S31*T31)+(V31*W31)+(Y31*Z31))/M31</f>
        <v>0.06</v>
      </c>
      <c r="O31" s="1506">
        <f t="shared" si="15"/>
        <v>0.76</v>
      </c>
      <c r="P31" s="1506">
        <v>11098528.609999999</v>
      </c>
      <c r="Q31" s="1479">
        <v>0.06</v>
      </c>
      <c r="R31" s="1542">
        <v>0.76</v>
      </c>
      <c r="S31" s="1506">
        <v>18901471.390000001</v>
      </c>
      <c r="T31" s="1479">
        <v>0.06</v>
      </c>
      <c r="U31" s="1506">
        <v>0.76</v>
      </c>
      <c r="V31" s="1508">
        <v>0</v>
      </c>
      <c r="W31" s="1479">
        <v>0</v>
      </c>
      <c r="X31" s="1506">
        <v>0</v>
      </c>
      <c r="Y31" s="1506">
        <v>0</v>
      </c>
      <c r="Z31" s="1479">
        <v>0</v>
      </c>
      <c r="AA31" s="1506">
        <v>0</v>
      </c>
      <c r="AB31" s="1506">
        <v>0</v>
      </c>
      <c r="AC31" s="1479">
        <v>0</v>
      </c>
      <c r="AD31" s="1506">
        <v>0</v>
      </c>
      <c r="AE31" s="1506">
        <v>0</v>
      </c>
      <c r="AF31" s="1479">
        <v>0</v>
      </c>
      <c r="AG31" s="1506">
        <v>0</v>
      </c>
      <c r="AH31" s="1506">
        <v>0</v>
      </c>
      <c r="AI31" s="1479">
        <v>0</v>
      </c>
      <c r="AJ31" s="1506">
        <v>0</v>
      </c>
    </row>
    <row r="32" spans="2:36" s="147" customFormat="1" ht="6" customHeight="1" x14ac:dyDescent="0.25">
      <c r="B32" s="1502"/>
      <c r="C32" s="1505"/>
      <c r="D32" s="1506"/>
      <c r="E32" s="1479"/>
      <c r="F32" s="1511"/>
      <c r="G32" s="1506"/>
      <c r="H32" s="1479"/>
      <c r="I32" s="1479"/>
      <c r="J32" s="1506"/>
      <c r="K32" s="1479"/>
      <c r="L32" s="1479"/>
      <c r="M32" s="1506"/>
      <c r="N32" s="1479"/>
      <c r="O32" s="1479"/>
      <c r="P32" s="1479"/>
      <c r="Q32" s="1479"/>
      <c r="R32" s="1480"/>
      <c r="S32" s="1506"/>
      <c r="T32" s="1479"/>
      <c r="U32" s="1479"/>
      <c r="V32" s="1508"/>
      <c r="W32" s="1479"/>
      <c r="X32" s="1479"/>
      <c r="Y32" s="1506"/>
      <c r="Z32" s="1479"/>
      <c r="AA32" s="1479"/>
      <c r="AB32" s="1506"/>
      <c r="AC32" s="1479"/>
      <c r="AD32" s="1479"/>
      <c r="AE32" s="1506"/>
      <c r="AF32" s="1479"/>
      <c r="AG32" s="1479"/>
      <c r="AH32" s="1506"/>
      <c r="AI32" s="1479"/>
      <c r="AJ32" s="1479"/>
    </row>
    <row r="33" spans="2:36" s="147" customFormat="1" ht="18" customHeight="1" x14ac:dyDescent="0.25">
      <c r="B33" s="1502" t="s">
        <v>759</v>
      </c>
      <c r="C33" s="1505"/>
      <c r="D33" s="1553">
        <f t="shared" si="12"/>
        <v>200000000</v>
      </c>
      <c r="E33" s="1554">
        <f t="shared" ref="E33" si="16">((G33*H33)+(AB33*AC33)+(AE33*AF33)+(AH33*AI33))/D33</f>
        <v>3.5000000000000003E-2</v>
      </c>
      <c r="F33" s="1511"/>
      <c r="G33" s="1555">
        <f>J33+M33</f>
        <v>200000000</v>
      </c>
      <c r="H33" s="1556">
        <f>((J33*K33)+(M33*N33))/G33</f>
        <v>3.5000000000000003E-2</v>
      </c>
      <c r="I33" s="1553">
        <f t="shared" si="14"/>
        <v>18.170000000000002</v>
      </c>
      <c r="J33" s="1553">
        <v>0</v>
      </c>
      <c r="K33" s="1557">
        <v>0</v>
      </c>
      <c r="L33" s="1553">
        <v>0</v>
      </c>
      <c r="M33" s="1553">
        <f>P33+S33+V33+Y33</f>
        <v>200000000</v>
      </c>
      <c r="N33" s="1557">
        <f>((P33*Q33)+(S33*T33)+(V33*W33)+(Y33*Z33))/M33</f>
        <v>3.5000000000000003E-2</v>
      </c>
      <c r="O33" s="1553">
        <f t="shared" si="15"/>
        <v>18.170000000000002</v>
      </c>
      <c r="P33" s="1553">
        <f>Hoja10!F101</f>
        <v>71882137.159999996</v>
      </c>
      <c r="Q33" s="1557">
        <v>3.5000000000000003E-2</v>
      </c>
      <c r="R33" s="1558">
        <v>18.170000000000002</v>
      </c>
      <c r="S33" s="1553">
        <f>Hoja10!F227</f>
        <v>128117862.84</v>
      </c>
      <c r="T33" s="1557">
        <v>3.5000000000000003E-2</v>
      </c>
      <c r="U33" s="1553">
        <v>18.170000000000002</v>
      </c>
      <c r="V33" s="1559">
        <v>0</v>
      </c>
      <c r="W33" s="1557">
        <v>0</v>
      </c>
      <c r="X33" s="1553">
        <v>0</v>
      </c>
      <c r="Y33" s="1553">
        <v>0</v>
      </c>
      <c r="Z33" s="1557">
        <v>0</v>
      </c>
      <c r="AA33" s="1553">
        <v>0</v>
      </c>
      <c r="AB33" s="1553">
        <v>0</v>
      </c>
      <c r="AC33" s="1557">
        <v>0</v>
      </c>
      <c r="AD33" s="1553">
        <v>0</v>
      </c>
      <c r="AE33" s="1553">
        <v>0</v>
      </c>
      <c r="AF33" s="1557">
        <v>0</v>
      </c>
      <c r="AG33" s="1553">
        <v>0</v>
      </c>
      <c r="AH33" s="1553">
        <v>0</v>
      </c>
      <c r="AI33" s="1557">
        <v>0</v>
      </c>
      <c r="AJ33" s="1553">
        <v>0</v>
      </c>
    </row>
    <row r="34" spans="2:36" s="151" customFormat="1" ht="8.25" customHeight="1" x14ac:dyDescent="0.25">
      <c r="B34" s="1510"/>
      <c r="C34" s="1511"/>
      <c r="D34" s="1509"/>
      <c r="E34" s="1512"/>
      <c r="F34" s="1501"/>
      <c r="G34" s="1501"/>
      <c r="H34" s="1513"/>
      <c r="I34" s="1514"/>
      <c r="J34" s="1501"/>
      <c r="K34" s="1514"/>
      <c r="L34" s="1514"/>
      <c r="M34" s="1501"/>
      <c r="N34" s="1514"/>
      <c r="O34" s="1514"/>
      <c r="P34" s="1501"/>
      <c r="Q34" s="1514"/>
      <c r="R34" s="1514"/>
      <c r="S34" s="1501"/>
      <c r="T34" s="1513"/>
      <c r="U34" s="1513"/>
      <c r="V34" s="1515"/>
      <c r="W34" s="1514"/>
      <c r="X34" s="1514"/>
      <c r="Y34" s="1501"/>
      <c r="Z34" s="1514"/>
      <c r="AA34" s="1514"/>
      <c r="AB34" s="1501"/>
      <c r="AC34" s="1514"/>
      <c r="AD34" s="1514"/>
      <c r="AE34" s="1501"/>
      <c r="AF34" s="1514"/>
      <c r="AG34" s="1514"/>
      <c r="AH34" s="1501"/>
      <c r="AI34" s="1514"/>
      <c r="AJ34" s="1501"/>
    </row>
    <row r="35" spans="2:36" s="156" customFormat="1" ht="20.149999999999999" customHeight="1" x14ac:dyDescent="0.25">
      <c r="B35" s="1511" t="s">
        <v>71</v>
      </c>
      <c r="C35" s="1503"/>
      <c r="D35" s="1509"/>
      <c r="E35" s="1516"/>
      <c r="F35" s="1503"/>
      <c r="G35" s="1503"/>
      <c r="H35" s="1517"/>
      <c r="I35" s="1517"/>
      <c r="J35" s="1503"/>
      <c r="K35" s="1517"/>
      <c r="L35" s="1517"/>
      <c r="M35" s="1503"/>
      <c r="N35" s="1517"/>
      <c r="O35" s="1517"/>
      <c r="P35" s="1503"/>
      <c r="Q35" s="1517"/>
      <c r="R35" s="1517"/>
      <c r="S35" s="1503"/>
      <c r="T35" s="1517"/>
      <c r="U35" s="1517"/>
      <c r="V35" s="1518"/>
      <c r="W35" s="1517"/>
      <c r="X35" s="1517"/>
      <c r="Y35" s="1503"/>
      <c r="Z35" s="1517"/>
      <c r="AA35" s="1517"/>
      <c r="AB35" s="1503"/>
      <c r="AC35" s="1517"/>
      <c r="AD35" s="1517"/>
      <c r="AE35" s="1503"/>
      <c r="AF35" s="1517"/>
      <c r="AG35" s="1517"/>
      <c r="AH35" s="1503"/>
      <c r="AI35" s="1517"/>
      <c r="AJ35" s="1503"/>
    </row>
    <row r="36" spans="2:36" s="156" customFormat="1" ht="33.75" customHeight="1" x14ac:dyDescent="0.25">
      <c r="B36" s="1608" t="s">
        <v>755</v>
      </c>
      <c r="C36" s="1608"/>
      <c r="D36" s="1608"/>
      <c r="E36" s="1608"/>
      <c r="F36" s="1608"/>
      <c r="G36" s="1608"/>
      <c r="H36" s="1608"/>
      <c r="I36" s="1608"/>
      <c r="J36" s="1608"/>
      <c r="K36" s="1608"/>
      <c r="L36" s="1608"/>
      <c r="M36" s="1608"/>
      <c r="N36" s="1608"/>
      <c r="O36" s="1608"/>
      <c r="P36" s="1608"/>
      <c r="Q36" s="1608"/>
      <c r="R36" s="1608"/>
      <c r="S36" s="1608"/>
      <c r="T36" s="1608"/>
      <c r="U36" s="1608"/>
      <c r="V36" s="1518"/>
      <c r="W36" s="1517"/>
      <c r="X36" s="1517"/>
      <c r="Y36" s="1503"/>
      <c r="Z36" s="1517"/>
      <c r="AA36" s="1517"/>
      <c r="AB36" s="1503"/>
      <c r="AC36" s="1517"/>
      <c r="AD36" s="1517"/>
      <c r="AE36" s="1503"/>
      <c r="AF36" s="1517"/>
      <c r="AG36" s="1517"/>
      <c r="AH36" s="1503"/>
      <c r="AI36" s="1517"/>
      <c r="AJ36" s="1503"/>
    </row>
    <row r="37" spans="2:36" s="156" customFormat="1" ht="20.149999999999999" customHeight="1" x14ac:dyDescent="0.25">
      <c r="B37" s="1575" t="s">
        <v>765</v>
      </c>
      <c r="C37" s="1503"/>
      <c r="D37" s="1509"/>
      <c r="E37" s="1519"/>
      <c r="F37" s="1503"/>
      <c r="G37" s="1503"/>
      <c r="H37" s="1517"/>
      <c r="I37" s="1517"/>
      <c r="J37" s="1503"/>
      <c r="K37" s="1517"/>
      <c r="L37" s="1517"/>
      <c r="M37" s="1503"/>
      <c r="N37" s="1517"/>
      <c r="O37" s="1517"/>
      <c r="P37" s="1503"/>
      <c r="Q37" s="1517"/>
      <c r="R37" s="1517"/>
      <c r="S37" s="1503"/>
      <c r="T37" s="1517"/>
      <c r="U37" s="1517"/>
      <c r="V37" s="1518"/>
      <c r="W37" s="1517"/>
      <c r="X37" s="1517"/>
      <c r="Y37" s="1503"/>
      <c r="Z37" s="1517"/>
      <c r="AA37" s="1517"/>
      <c r="AB37" s="1503"/>
      <c r="AC37" s="1517"/>
      <c r="AD37" s="1517"/>
      <c r="AE37" s="1503"/>
      <c r="AF37" s="1517"/>
      <c r="AG37" s="1517"/>
      <c r="AH37" s="1503"/>
      <c r="AI37" s="1517"/>
      <c r="AJ37" s="1503"/>
    </row>
    <row r="38" spans="2:36" s="156" customFormat="1" ht="20.149999999999999" customHeight="1" x14ac:dyDescent="0.25">
      <c r="B38" s="1575" t="s">
        <v>81</v>
      </c>
      <c r="C38" s="1503"/>
      <c r="D38" s="1509"/>
      <c r="E38" s="1519"/>
      <c r="F38" s="1503"/>
      <c r="G38" s="1503"/>
      <c r="H38" s="1517"/>
      <c r="I38" s="1517"/>
      <c r="J38" s="1503"/>
      <c r="K38" s="1517"/>
      <c r="L38" s="1517"/>
      <c r="M38" s="1503"/>
      <c r="N38" s="1517"/>
      <c r="O38" s="1517"/>
      <c r="P38" s="1503"/>
      <c r="Q38" s="1517"/>
      <c r="R38" s="1517"/>
      <c r="S38" s="1503"/>
      <c r="T38" s="1517"/>
      <c r="U38" s="1517"/>
      <c r="V38" s="1518"/>
      <c r="W38" s="1517"/>
      <c r="X38" s="1517"/>
      <c r="Y38" s="1503"/>
      <c r="Z38" s="1517"/>
      <c r="AA38" s="1517"/>
      <c r="AB38" s="1503"/>
      <c r="AC38" s="1517"/>
      <c r="AD38" s="1517"/>
      <c r="AE38" s="1503"/>
      <c r="AF38" s="1517"/>
      <c r="AG38" s="1517"/>
      <c r="AH38" s="1503"/>
      <c r="AI38" s="1517"/>
      <c r="AJ38" s="1503"/>
    </row>
    <row r="39" spans="2:36" s="156" customFormat="1" ht="33" customHeight="1" x14ac:dyDescent="0.25">
      <c r="B39" s="1608" t="s">
        <v>763</v>
      </c>
      <c r="C39" s="1608"/>
      <c r="D39" s="1608"/>
      <c r="E39" s="1608"/>
      <c r="F39" s="1608"/>
      <c r="G39" s="1608"/>
      <c r="H39" s="1608"/>
      <c r="I39" s="1608"/>
      <c r="J39" s="1608"/>
      <c r="K39" s="1608"/>
      <c r="L39" s="1608"/>
      <c r="M39" s="1608"/>
      <c r="N39" s="1608"/>
      <c r="O39" s="1608"/>
      <c r="P39" s="1608"/>
      <c r="Q39" s="1608"/>
      <c r="R39" s="1608"/>
      <c r="S39" s="1608"/>
      <c r="T39" s="1608"/>
      <c r="U39" s="1608"/>
      <c r="V39" s="1518"/>
      <c r="W39" s="1517"/>
      <c r="X39" s="1517"/>
      <c r="Y39" s="1503"/>
      <c r="Z39" s="1517"/>
      <c r="AA39" s="1517"/>
      <c r="AB39" s="1503"/>
      <c r="AC39" s="1517"/>
      <c r="AD39" s="1517"/>
      <c r="AE39" s="1503"/>
      <c r="AF39" s="1517"/>
      <c r="AG39" s="1517"/>
      <c r="AH39" s="1503"/>
      <c r="AI39" s="1517"/>
      <c r="AJ39" s="1503"/>
    </row>
    <row r="40" spans="2:36" s="156" customFormat="1" ht="30.75" customHeight="1" x14ac:dyDescent="0.25">
      <c r="B40" s="1608" t="s">
        <v>764</v>
      </c>
      <c r="C40" s="1608"/>
      <c r="D40" s="1608"/>
      <c r="E40" s="1608"/>
      <c r="F40" s="1608"/>
      <c r="G40" s="1608"/>
      <c r="H40" s="1608"/>
      <c r="I40" s="1608"/>
      <c r="J40" s="1608"/>
      <c r="K40" s="1608"/>
      <c r="L40" s="1608"/>
      <c r="M40" s="1608"/>
      <c r="N40" s="1608"/>
      <c r="O40" s="1608"/>
      <c r="P40" s="1608"/>
      <c r="Q40" s="1608"/>
      <c r="R40" s="1608"/>
      <c r="S40" s="1608"/>
      <c r="T40" s="1608"/>
      <c r="U40" s="1608"/>
      <c r="V40" s="1518"/>
      <c r="W40" s="1517"/>
      <c r="X40" s="1517"/>
      <c r="Y40" s="1503"/>
      <c r="Z40" s="1517"/>
      <c r="AA40" s="1517"/>
      <c r="AB40" s="1503"/>
      <c r="AC40" s="1517"/>
      <c r="AD40" s="1517"/>
      <c r="AE40" s="1503"/>
      <c r="AF40" s="1517"/>
      <c r="AG40" s="1517"/>
      <c r="AH40" s="1503"/>
      <c r="AI40" s="1517"/>
      <c r="AJ40" s="1503"/>
    </row>
    <row r="41" spans="2:36" s="156" customFormat="1" ht="31.5" customHeight="1" x14ac:dyDescent="0.25">
      <c r="B41" s="1608" t="s">
        <v>761</v>
      </c>
      <c r="C41" s="1608"/>
      <c r="D41" s="1608"/>
      <c r="E41" s="1608"/>
      <c r="F41" s="1608"/>
      <c r="G41" s="1608"/>
      <c r="H41" s="1608"/>
      <c r="I41" s="1608"/>
      <c r="J41" s="1608"/>
      <c r="K41" s="1608"/>
      <c r="L41" s="1608"/>
      <c r="M41" s="1608"/>
      <c r="N41" s="1608"/>
      <c r="O41" s="1608"/>
      <c r="P41" s="1608"/>
      <c r="Q41" s="1608"/>
      <c r="R41" s="1608"/>
      <c r="S41" s="1608"/>
      <c r="T41" s="1608"/>
      <c r="U41" s="1608"/>
      <c r="V41" s="1518"/>
      <c r="W41" s="1517"/>
      <c r="X41" s="1517"/>
      <c r="Y41" s="1503"/>
      <c r="Z41" s="1517"/>
      <c r="AA41" s="1517"/>
      <c r="AB41" s="1503"/>
      <c r="AC41" s="1517"/>
      <c r="AD41" s="1517"/>
      <c r="AE41" s="1503"/>
      <c r="AF41" s="1517"/>
      <c r="AG41" s="1517"/>
      <c r="AH41" s="1503"/>
      <c r="AI41" s="1517"/>
      <c r="AJ41" s="1503"/>
    </row>
    <row r="42" spans="2:36" s="156" customFormat="1" ht="4.5" customHeight="1" x14ac:dyDescent="0.25">
      <c r="B42" s="1511"/>
      <c r="C42" s="1503"/>
      <c r="D42" s="1509"/>
      <c r="E42" s="1519"/>
      <c r="F42" s="1503"/>
      <c r="G42" s="1503"/>
      <c r="H42" s="1517"/>
      <c r="I42" s="1517"/>
      <c r="J42" s="1503"/>
      <c r="K42" s="1517"/>
      <c r="L42" s="1517"/>
      <c r="M42" s="1503"/>
      <c r="N42" s="1517"/>
      <c r="O42" s="1517"/>
      <c r="P42" s="1503"/>
      <c r="Q42" s="1517"/>
      <c r="R42" s="1517"/>
      <c r="S42" s="1503"/>
      <c r="T42" s="1517"/>
      <c r="U42" s="1517"/>
      <c r="V42" s="1518"/>
      <c r="W42" s="1517"/>
      <c r="X42" s="1517"/>
      <c r="Y42" s="1503"/>
      <c r="Z42" s="1517"/>
      <c r="AA42" s="1517"/>
      <c r="AB42" s="1503"/>
      <c r="AC42" s="1517"/>
      <c r="AD42" s="1517"/>
      <c r="AE42" s="1503"/>
      <c r="AF42" s="1517"/>
      <c r="AG42" s="1517"/>
      <c r="AH42" s="1503"/>
      <c r="AI42" s="1517"/>
      <c r="AJ42" s="1503"/>
    </row>
    <row r="43" spans="2:36" s="156" customFormat="1" ht="20.149999999999999" customHeight="1" x14ac:dyDescent="0.25">
      <c r="B43" s="1511" t="s">
        <v>770</v>
      </c>
      <c r="C43" s="1503"/>
      <c r="D43" s="1509"/>
      <c r="E43" s="1519"/>
      <c r="F43" s="1503"/>
      <c r="G43" s="1503"/>
      <c r="H43" s="1517"/>
      <c r="I43" s="1517"/>
      <c r="J43" s="1503"/>
      <c r="K43" s="1517"/>
      <c r="L43" s="1517"/>
      <c r="M43" s="1503"/>
      <c r="N43" s="1517"/>
      <c r="O43" s="1517"/>
      <c r="P43" s="1503"/>
      <c r="Q43" s="1517"/>
      <c r="R43" s="1517"/>
      <c r="S43" s="1503"/>
      <c r="T43" s="1517"/>
      <c r="U43" s="1517"/>
      <c r="V43" s="1518"/>
      <c r="W43" s="1517"/>
      <c r="X43" s="1517"/>
      <c r="Y43" s="1503"/>
      <c r="Z43" s="1517"/>
      <c r="AA43" s="1517"/>
      <c r="AB43" s="1503"/>
      <c r="AC43" s="1517"/>
      <c r="AD43" s="1517"/>
      <c r="AE43" s="1503"/>
      <c r="AF43" s="1517"/>
      <c r="AG43" s="1517"/>
      <c r="AH43" s="1503"/>
      <c r="AI43" s="1517"/>
      <c r="AJ43" s="1503"/>
    </row>
    <row r="44" spans="2:36" s="156" customFormat="1" ht="20.149999999999999" customHeight="1" x14ac:dyDescent="0.25">
      <c r="B44" s="1576" t="s">
        <v>78</v>
      </c>
      <c r="C44" s="1503"/>
      <c r="D44" s="1509"/>
      <c r="E44" s="1519"/>
      <c r="F44" s="1503"/>
      <c r="G44" s="1503"/>
      <c r="H44" s="1517"/>
      <c r="I44" s="1517"/>
      <c r="J44" s="1503"/>
      <c r="K44" s="1517"/>
      <c r="L44" s="1517"/>
      <c r="M44" s="1503"/>
      <c r="N44" s="1517"/>
      <c r="O44" s="1517"/>
      <c r="P44" s="1503"/>
      <c r="Q44" s="1517"/>
      <c r="R44" s="1517"/>
      <c r="S44" s="1503"/>
      <c r="T44" s="1517"/>
      <c r="U44" s="1517"/>
      <c r="V44" s="1518"/>
      <c r="W44" s="1517"/>
      <c r="X44" s="1517"/>
      <c r="Y44" s="1503"/>
      <c r="Z44" s="1517"/>
      <c r="AA44" s="1517"/>
      <c r="AB44" s="1503"/>
      <c r="AC44" s="1517"/>
      <c r="AD44" s="1517"/>
      <c r="AE44" s="1503"/>
      <c r="AF44" s="1517"/>
      <c r="AG44" s="1517"/>
      <c r="AH44" s="1503"/>
      <c r="AI44" s="1517"/>
      <c r="AJ44" s="1503"/>
    </row>
    <row r="45" spans="2:36" s="156" customFormat="1" ht="20.149999999999999" customHeight="1" x14ac:dyDescent="0.25">
      <c r="B45" s="1576" t="s">
        <v>79</v>
      </c>
      <c r="C45" s="1503"/>
      <c r="D45" s="1509"/>
      <c r="E45" s="1519"/>
      <c r="F45" s="1503"/>
      <c r="G45" s="1503"/>
      <c r="H45" s="1517"/>
      <c r="I45" s="1503"/>
      <c r="J45" s="1503"/>
      <c r="K45" s="1503"/>
      <c r="L45" s="1503"/>
      <c r="M45" s="1503"/>
      <c r="N45" s="1517"/>
      <c r="O45" s="1517"/>
      <c r="P45" s="1503"/>
      <c r="Q45" s="1517"/>
      <c r="R45" s="1517"/>
      <c r="S45" s="1503"/>
      <c r="T45" s="1517"/>
      <c r="U45" s="1517"/>
      <c r="V45" s="1518"/>
      <c r="W45" s="1517"/>
      <c r="X45" s="1517"/>
      <c r="Y45" s="1503"/>
      <c r="Z45" s="1517"/>
      <c r="AA45" s="1517"/>
      <c r="AB45" s="1503"/>
      <c r="AC45" s="1517"/>
      <c r="AD45" s="1517"/>
      <c r="AE45" s="1503"/>
      <c r="AF45" s="1517"/>
      <c r="AG45" s="1517"/>
      <c r="AH45" s="1503"/>
      <c r="AI45" s="1517"/>
      <c r="AJ45" s="1503"/>
    </row>
    <row r="46" spans="2:36" s="156" customFormat="1" ht="8.25" customHeight="1" x14ac:dyDescent="0.25">
      <c r="B46" s="1576"/>
      <c r="C46" s="1503"/>
      <c r="D46" s="1509"/>
      <c r="E46" s="1519"/>
      <c r="F46" s="1503"/>
      <c r="G46" s="1503"/>
      <c r="H46" s="1517"/>
      <c r="I46" s="1503"/>
      <c r="J46" s="1503"/>
      <c r="K46" s="1503"/>
      <c r="L46" s="1503"/>
      <c r="M46" s="1503"/>
      <c r="N46" s="1517"/>
      <c r="O46" s="1517"/>
      <c r="P46" s="1503"/>
      <c r="Q46" s="1517"/>
      <c r="R46" s="1517"/>
      <c r="S46" s="1501"/>
      <c r="T46" s="1514"/>
      <c r="U46" s="1514"/>
      <c r="V46" s="1515"/>
      <c r="W46" s="1514"/>
      <c r="X46" s="1514"/>
      <c r="Y46" s="1501"/>
      <c r="Z46" s="1514"/>
      <c r="AA46" s="1514"/>
      <c r="AB46" s="1501"/>
      <c r="AC46" s="1517"/>
      <c r="AD46" s="1517"/>
      <c r="AE46" s="1503"/>
      <c r="AF46" s="1517"/>
      <c r="AG46" s="1517"/>
      <c r="AH46" s="1503"/>
      <c r="AI46" s="1517"/>
      <c r="AJ46" s="1503"/>
    </row>
    <row r="47" spans="2:36" s="156" customFormat="1" ht="20.149999999999999" customHeight="1" x14ac:dyDescent="0.25">
      <c r="B47" s="1576" t="s">
        <v>768</v>
      </c>
      <c r="C47" s="1503"/>
      <c r="D47" s="1509"/>
      <c r="E47" s="1519"/>
      <c r="F47" s="1503"/>
      <c r="G47" s="1503"/>
      <c r="H47" s="1517"/>
      <c r="I47" s="1517"/>
      <c r="J47" s="1503"/>
      <c r="K47" s="1517"/>
      <c r="L47" s="1517"/>
      <c r="M47" s="1503"/>
      <c r="N47" s="1517"/>
      <c r="O47" s="1517"/>
      <c r="P47" s="1503"/>
      <c r="Q47" s="1517"/>
      <c r="R47" s="1517"/>
      <c r="S47" s="1503"/>
      <c r="T47" s="1517"/>
      <c r="U47" s="1517"/>
      <c r="V47" s="1518"/>
      <c r="W47" s="1517"/>
      <c r="X47" s="1517"/>
      <c r="Y47" s="1503"/>
      <c r="Z47" s="1517"/>
      <c r="AA47" s="1517"/>
      <c r="AB47" s="1503"/>
      <c r="AC47" s="1517"/>
      <c r="AD47" s="1517"/>
      <c r="AE47" s="1503"/>
      <c r="AF47" s="1517"/>
      <c r="AG47" s="1517"/>
      <c r="AH47" s="1503"/>
      <c r="AI47" s="1517"/>
      <c r="AJ47" s="1503"/>
    </row>
    <row r="48" spans="2:36" s="158" customFormat="1" ht="17.25" customHeight="1" x14ac:dyDescent="0.25">
      <c r="B48" s="1577" t="s">
        <v>769</v>
      </c>
      <c r="C48" s="1481"/>
      <c r="D48" s="1478"/>
      <c r="E48" s="1482"/>
      <c r="F48" s="1481"/>
      <c r="G48" s="1481"/>
      <c r="H48" s="1483"/>
      <c r="I48" s="1483"/>
      <c r="J48" s="1481"/>
      <c r="K48" s="1483"/>
      <c r="L48" s="1483"/>
      <c r="M48" s="1481"/>
      <c r="N48" s="1483"/>
      <c r="O48" s="1483"/>
      <c r="P48" s="1481"/>
      <c r="Q48" s="1483"/>
      <c r="R48" s="1483"/>
      <c r="S48" s="1481"/>
      <c r="T48" s="1483"/>
      <c r="U48" s="1483"/>
      <c r="V48" s="1484"/>
      <c r="W48" s="1483"/>
      <c r="X48" s="1483"/>
      <c r="Y48" s="1481"/>
      <c r="Z48" s="1483"/>
      <c r="AA48" s="1483"/>
      <c r="AB48" s="1481"/>
      <c r="AC48" s="1483"/>
      <c r="AD48" s="1483"/>
      <c r="AE48" s="1481"/>
      <c r="AF48" s="1483"/>
      <c r="AG48" s="1483"/>
      <c r="AH48" s="1481"/>
      <c r="AI48" s="1483"/>
      <c r="AJ48" s="1481"/>
    </row>
    <row r="49" spans="4:35" s="161" customFormat="1" ht="20.149999999999999" customHeight="1" x14ac:dyDescent="0.25">
      <c r="D49" s="6"/>
      <c r="E49" s="191"/>
      <c r="H49" s="186"/>
      <c r="I49" s="186"/>
      <c r="K49" s="186"/>
      <c r="L49" s="186"/>
      <c r="N49" s="186"/>
      <c r="O49" s="186"/>
      <c r="Q49" s="186"/>
      <c r="R49" s="186"/>
      <c r="T49" s="186"/>
      <c r="U49" s="186"/>
      <c r="V49" s="1466"/>
      <c r="W49" s="186"/>
      <c r="X49" s="186"/>
      <c r="Z49" s="186"/>
      <c r="AA49" s="186"/>
      <c r="AC49" s="186"/>
      <c r="AD49" s="186"/>
      <c r="AF49" s="186"/>
      <c r="AG49" s="186"/>
      <c r="AI49" s="186"/>
    </row>
    <row r="50" spans="4:35" s="161" customFormat="1" ht="20.149999999999999" customHeight="1" x14ac:dyDescent="0.25">
      <c r="D50" s="6"/>
      <c r="E50" s="191"/>
      <c r="H50" s="186"/>
      <c r="N50" s="186"/>
      <c r="O50" s="186"/>
      <c r="Q50" s="186"/>
      <c r="R50" s="186"/>
      <c r="T50" s="186"/>
      <c r="U50" s="186"/>
      <c r="V50" s="1466"/>
      <c r="W50" s="186"/>
      <c r="X50" s="186"/>
      <c r="Z50" s="186"/>
      <c r="AA50" s="186"/>
      <c r="AC50" s="186"/>
      <c r="AD50" s="186"/>
      <c r="AF50" s="186"/>
      <c r="AG50" s="186"/>
      <c r="AI50" s="186"/>
    </row>
  </sheetData>
  <sheetProtection selectLockedCells="1" selectUnlockedCells="1"/>
  <mergeCells count="22">
    <mergeCell ref="B40:U40"/>
    <mergeCell ref="B41:U41"/>
    <mergeCell ref="AE7:AG7"/>
    <mergeCell ref="AH7:AJ7"/>
    <mergeCell ref="B4:U4"/>
    <mergeCell ref="B36:U36"/>
    <mergeCell ref="B39:U39"/>
    <mergeCell ref="M7:O7"/>
    <mergeCell ref="P7:R7"/>
    <mergeCell ref="S7:U7"/>
    <mergeCell ref="V7:X7"/>
    <mergeCell ref="Y7:AA7"/>
    <mergeCell ref="AB7:AD7"/>
    <mergeCell ref="B2:AJ2"/>
    <mergeCell ref="B3:AJ3"/>
    <mergeCell ref="B5:AJ5"/>
    <mergeCell ref="B6:AJ6"/>
    <mergeCell ref="B7:B8"/>
    <mergeCell ref="D7:D8"/>
    <mergeCell ref="E7:E8"/>
    <mergeCell ref="G7:I7"/>
    <mergeCell ref="J7:L7"/>
  </mergeCells>
  <printOptions horizontalCentered="1"/>
  <pageMargins left="0.39370078740157483" right="0.39370078740157483" top="0.98425196850393704" bottom="0.59055118110236227" header="0" footer="0"/>
  <pageSetup scale="70" firstPageNumber="0" orientation="portrait" r:id="rId1"/>
  <headerFooter alignWithMargins="0"/>
  <ignoredErrors>
    <ignoredError sqref="J10" formula="1"/>
    <ignoredError sqref="S22" formulaRange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S63"/>
  <sheetViews>
    <sheetView topLeftCell="A19" workbookViewId="0">
      <selection activeCell="Q23" sqref="Q23"/>
    </sheetView>
  </sheetViews>
  <sheetFormatPr baseColWidth="10" defaultColWidth="11.1796875" defaultRowHeight="15.5" x14ac:dyDescent="0.35"/>
  <cols>
    <col min="1" max="1" width="8.1796875" style="370" customWidth="1"/>
    <col min="2" max="2" width="27" style="453" customWidth="1"/>
    <col min="3" max="3" width="21.26953125" style="453" customWidth="1"/>
    <col min="4" max="4" width="16.7265625" style="453" customWidth="1"/>
    <col min="5" max="5" width="15.1796875" style="453" customWidth="1"/>
    <col min="6" max="6" width="19" style="453" customWidth="1"/>
    <col min="7" max="7" width="18.453125" style="344" customWidth="1"/>
    <col min="8" max="8" width="31.54296875" style="365" hidden="1" customWidth="1"/>
    <col min="9" max="9" width="14.26953125" style="358" hidden="1" customWidth="1"/>
    <col min="10" max="10" width="17.7265625" style="358" hidden="1" customWidth="1"/>
    <col min="11" max="12" width="0" style="355" hidden="1" customWidth="1"/>
    <col min="13" max="13" width="11.1796875" style="355"/>
    <col min="14" max="14" width="11.453125" style="355" bestFit="1" customWidth="1"/>
    <col min="15" max="15" width="14.54296875" style="1378" bestFit="1" customWidth="1"/>
    <col min="16" max="19" width="11.1796875" style="359"/>
    <col min="20" max="16384" width="11.1796875" style="355"/>
  </cols>
  <sheetData>
    <row r="1" spans="1:19" s="331" customFormat="1" ht="21" customHeight="1" x14ac:dyDescent="0.25">
      <c r="A1" s="370"/>
      <c r="B1" s="956"/>
      <c r="C1" s="957"/>
      <c r="D1" s="957"/>
      <c r="E1" s="957"/>
      <c r="F1" s="957"/>
      <c r="G1" s="958" t="s">
        <v>518</v>
      </c>
      <c r="H1" s="345"/>
      <c r="I1" s="337"/>
      <c r="J1" s="338"/>
      <c r="K1" s="1654"/>
      <c r="L1" s="1654"/>
      <c r="M1" s="1654"/>
      <c r="N1" s="1654"/>
      <c r="O1" s="1654"/>
      <c r="P1" s="340"/>
      <c r="Q1" s="340"/>
      <c r="R1" s="340"/>
      <c r="S1" s="340"/>
    </row>
    <row r="2" spans="1:19" s="341" customFormat="1" ht="21" customHeight="1" x14ac:dyDescent="0.25">
      <c r="B2" s="1655" t="s">
        <v>0</v>
      </c>
      <c r="C2" s="1656"/>
      <c r="D2" s="1656"/>
      <c r="E2" s="1656"/>
      <c r="F2" s="1656"/>
      <c r="G2" s="1657"/>
      <c r="H2" s="345"/>
      <c r="I2" s="345"/>
      <c r="J2" s="1658"/>
      <c r="K2" s="1658"/>
      <c r="L2" s="1658"/>
      <c r="M2" s="1658"/>
      <c r="N2" s="1658"/>
      <c r="O2" s="1658"/>
      <c r="P2" s="346"/>
      <c r="Q2" s="346"/>
      <c r="R2" s="346"/>
      <c r="S2" s="346"/>
    </row>
    <row r="3" spans="1:19" s="352" customFormat="1" ht="21" customHeight="1" x14ac:dyDescent="0.25">
      <c r="A3" s="347"/>
      <c r="B3" s="1659" t="s">
        <v>519</v>
      </c>
      <c r="C3" s="1660"/>
      <c r="D3" s="1660"/>
      <c r="E3" s="1660"/>
      <c r="F3" s="1660"/>
      <c r="G3" s="1661"/>
      <c r="H3" s="350"/>
      <c r="I3" s="350"/>
      <c r="J3" s="1662"/>
      <c r="K3" s="351"/>
      <c r="L3" s="351"/>
      <c r="M3" s="351"/>
      <c r="N3" s="351"/>
      <c r="O3" s="1359"/>
      <c r="P3" s="346"/>
      <c r="Q3" s="346"/>
      <c r="R3" s="346"/>
      <c r="S3" s="347"/>
    </row>
    <row r="4" spans="1:19" s="352" customFormat="1" ht="21" customHeight="1" x14ac:dyDescent="0.25">
      <c r="A4" s="347"/>
      <c r="B4" s="1659" t="s">
        <v>520</v>
      </c>
      <c r="C4" s="1660"/>
      <c r="D4" s="1660"/>
      <c r="E4" s="1660"/>
      <c r="F4" s="1660"/>
      <c r="G4" s="1661"/>
      <c r="H4" s="350"/>
      <c r="I4" s="350"/>
      <c r="J4" s="1662"/>
      <c r="K4" s="351"/>
      <c r="L4" s="351"/>
      <c r="M4" s="351"/>
      <c r="N4" s="351"/>
      <c r="O4" s="1359"/>
      <c r="P4" s="346"/>
      <c r="Q4" s="346"/>
      <c r="R4" s="346"/>
      <c r="S4" s="347"/>
    </row>
    <row r="5" spans="1:19" s="341" customFormat="1" ht="21" customHeight="1" x14ac:dyDescent="0.25">
      <c r="B5" s="1663" t="str">
        <f>'[11]VENC. '!$B$4</f>
        <v xml:space="preserve"> AL 31 DE MARZO DE 2023</v>
      </c>
      <c r="C5" s="1664"/>
      <c r="D5" s="1664"/>
      <c r="E5" s="1664"/>
      <c r="F5" s="1664"/>
      <c r="G5" s="1665"/>
      <c r="H5" s="350"/>
      <c r="I5" s="350"/>
      <c r="J5" s="1662"/>
      <c r="K5" s="353"/>
      <c r="L5" s="353"/>
      <c r="M5" s="345"/>
      <c r="N5" s="345"/>
      <c r="O5" s="1360"/>
      <c r="P5" s="346"/>
      <c r="Q5" s="346"/>
      <c r="R5" s="346"/>
      <c r="S5" s="346"/>
    </row>
    <row r="6" spans="1:19" ht="21" customHeight="1" x14ac:dyDescent="0.35">
      <c r="B6" s="1649" t="s">
        <v>362</v>
      </c>
      <c r="C6" s="1659" t="s">
        <v>363</v>
      </c>
      <c r="D6" s="1661"/>
      <c r="E6" s="1649" t="s">
        <v>364</v>
      </c>
      <c r="F6" s="1649" t="s">
        <v>365</v>
      </c>
      <c r="G6" s="1649" t="s">
        <v>366</v>
      </c>
      <c r="H6" s="1653" t="s">
        <v>367</v>
      </c>
      <c r="J6" s="1640"/>
      <c r="K6" s="1640"/>
      <c r="L6" s="1640"/>
      <c r="M6" s="1640"/>
      <c r="N6" s="1640"/>
      <c r="O6" s="1640"/>
    </row>
    <row r="7" spans="1:19" ht="21" customHeight="1" x14ac:dyDescent="0.35">
      <c r="B7" s="1649"/>
      <c r="C7" s="1659"/>
      <c r="D7" s="1661"/>
      <c r="E7" s="1649"/>
      <c r="F7" s="1649"/>
      <c r="G7" s="1649"/>
      <c r="H7" s="1649"/>
      <c r="J7" s="1640"/>
      <c r="K7" s="1640"/>
      <c r="L7" s="1640"/>
      <c r="M7" s="1640"/>
      <c r="N7" s="1640"/>
      <c r="O7" s="1640"/>
    </row>
    <row r="8" spans="1:19" ht="14.25" customHeight="1" x14ac:dyDescent="0.35">
      <c r="B8" s="1650"/>
      <c r="C8" s="960" t="s">
        <v>368</v>
      </c>
      <c r="D8" s="961" t="s">
        <v>369</v>
      </c>
      <c r="E8" s="1650"/>
      <c r="F8" s="364" t="s">
        <v>370</v>
      </c>
      <c r="G8" s="1650"/>
      <c r="H8" s="1650"/>
      <c r="I8" s="353"/>
      <c r="J8" s="354"/>
      <c r="K8" s="338"/>
      <c r="L8" s="338"/>
      <c r="M8" s="338"/>
      <c r="N8" s="338"/>
      <c r="O8" s="1361"/>
      <c r="P8" s="340"/>
    </row>
    <row r="9" spans="1:19" s="370" customFormat="1" ht="18" customHeight="1" x14ac:dyDescent="0.25">
      <c r="B9" s="548"/>
      <c r="C9" s="372"/>
      <c r="D9" s="372"/>
      <c r="E9" s="372"/>
      <c r="F9" s="373"/>
      <c r="G9" s="342"/>
      <c r="H9" s="353"/>
      <c r="I9" s="353"/>
      <c r="J9" s="549"/>
      <c r="K9" s="550"/>
      <c r="L9" s="550"/>
      <c r="M9" s="550"/>
      <c r="N9" s="550"/>
      <c r="O9" s="1362"/>
      <c r="P9" s="374"/>
      <c r="Q9" s="374"/>
      <c r="R9" s="374"/>
      <c r="S9" s="374"/>
    </row>
    <row r="10" spans="1:19" s="520" customFormat="1" ht="27.75" customHeight="1" x14ac:dyDescent="0.25">
      <c r="A10" s="365"/>
      <c r="B10" s="1709" t="s">
        <v>521</v>
      </c>
      <c r="C10" s="1710"/>
      <c r="D10" s="1710"/>
      <c r="E10" s="678" t="s">
        <v>101</v>
      </c>
      <c r="F10" s="1003">
        <f>F11+F35</f>
        <v>245713231.65000001</v>
      </c>
      <c r="G10" s="367"/>
      <c r="H10" s="365"/>
      <c r="O10" s="1363"/>
      <c r="P10" s="524"/>
      <c r="Q10" s="524"/>
      <c r="R10" s="524"/>
      <c r="S10" s="524"/>
    </row>
    <row r="11" spans="1:19" s="520" customFormat="1" ht="27.75" customHeight="1" x14ac:dyDescent="0.25">
      <c r="A11" s="365"/>
      <c r="B11" s="684" t="s">
        <v>522</v>
      </c>
      <c r="C11" s="685"/>
      <c r="D11" s="685"/>
      <c r="E11" s="534"/>
      <c r="F11" s="373">
        <f>SUM(F12)+F21+F31+F33</f>
        <v>228726484</v>
      </c>
      <c r="G11" s="367"/>
      <c r="H11" s="365"/>
      <c r="I11" s="365"/>
      <c r="J11" s="337"/>
      <c r="O11" s="1363"/>
      <c r="P11" s="524"/>
      <c r="Q11" s="524"/>
      <c r="R11" s="524"/>
      <c r="S11" s="524"/>
    </row>
    <row r="12" spans="1:19" s="520" customFormat="1" ht="27.75" customHeight="1" x14ac:dyDescent="0.25">
      <c r="A12" s="365"/>
      <c r="B12" s="684" t="s">
        <v>372</v>
      </c>
      <c r="C12" s="685"/>
      <c r="D12" s="685"/>
      <c r="E12" s="534"/>
      <c r="F12" s="373">
        <f>SUM(F13:F20)</f>
        <v>136239556.34</v>
      </c>
      <c r="G12" s="367"/>
      <c r="H12" s="365"/>
      <c r="I12" s="365"/>
      <c r="O12" s="1363"/>
      <c r="P12" s="524"/>
      <c r="Q12" s="524"/>
      <c r="R12" s="524"/>
      <c r="S12" s="524"/>
    </row>
    <row r="13" spans="1:19" s="520" customFormat="1" ht="17.25" customHeight="1" x14ac:dyDescent="0.25">
      <c r="A13" s="365"/>
      <c r="B13" s="636">
        <v>150000139040</v>
      </c>
      <c r="C13" s="628" t="s">
        <v>673</v>
      </c>
      <c r="D13" s="628">
        <v>45019</v>
      </c>
      <c r="E13" s="628" t="s">
        <v>674</v>
      </c>
      <c r="F13" s="1254">
        <v>75582516.180000007</v>
      </c>
      <c r="G13" s="1255">
        <v>3</v>
      </c>
      <c r="H13" s="365"/>
      <c r="I13" s="365"/>
      <c r="N13" s="520">
        <f>F13*G13/100</f>
        <v>2267475</v>
      </c>
      <c r="O13" s="1363"/>
      <c r="P13" s="524"/>
      <c r="Q13" s="524"/>
      <c r="R13" s="524"/>
      <c r="S13" s="524"/>
    </row>
    <row r="14" spans="1:19" s="520" customFormat="1" ht="17.25" customHeight="1" x14ac:dyDescent="0.25">
      <c r="A14" s="365"/>
      <c r="B14" s="636">
        <v>150000139050</v>
      </c>
      <c r="C14" s="628" t="s">
        <v>673</v>
      </c>
      <c r="D14" s="628">
        <v>45019</v>
      </c>
      <c r="E14" s="628" t="s">
        <v>674</v>
      </c>
      <c r="F14" s="1254">
        <v>36173792.25</v>
      </c>
      <c r="G14" s="1255">
        <v>3</v>
      </c>
      <c r="H14" s="365"/>
      <c r="I14" s="365"/>
      <c r="N14" s="520">
        <f t="shared" ref="N14:N54" si="0">F14*G14/100</f>
        <v>1085214</v>
      </c>
      <c r="O14" s="1363"/>
      <c r="P14" s="524"/>
      <c r="Q14" s="524"/>
      <c r="R14" s="524"/>
      <c r="S14" s="524"/>
    </row>
    <row r="15" spans="1:19" s="520" customFormat="1" ht="21" customHeight="1" x14ac:dyDescent="0.25">
      <c r="A15" s="365"/>
      <c r="B15" s="1213">
        <v>110000058090</v>
      </c>
      <c r="C15" s="880">
        <v>43150</v>
      </c>
      <c r="D15" s="880">
        <v>45707</v>
      </c>
      <c r="E15" s="880" t="s">
        <v>381</v>
      </c>
      <c r="F15" s="881">
        <v>9411663.8200000003</v>
      </c>
      <c r="G15" s="808">
        <v>3.15</v>
      </c>
      <c r="H15" s="414" t="s">
        <v>375</v>
      </c>
      <c r="I15" s="405" t="s">
        <v>466</v>
      </c>
      <c r="N15" s="520">
        <f t="shared" si="0"/>
        <v>296467</v>
      </c>
      <c r="O15" s="1363"/>
      <c r="P15" s="524"/>
      <c r="Q15" s="524"/>
      <c r="R15" s="524"/>
      <c r="S15" s="524"/>
    </row>
    <row r="16" spans="1:19" s="370" customFormat="1" ht="21" customHeight="1" x14ac:dyDescent="0.25">
      <c r="A16" s="365"/>
      <c r="B16" s="806">
        <v>110000053324</v>
      </c>
      <c r="C16" s="879">
        <v>42916</v>
      </c>
      <c r="D16" s="879">
        <v>45838</v>
      </c>
      <c r="E16" s="880" t="s">
        <v>383</v>
      </c>
      <c r="F16" s="881">
        <v>9698013.7899999991</v>
      </c>
      <c r="G16" s="1237">
        <v>3.25</v>
      </c>
      <c r="H16" s="414" t="s">
        <v>375</v>
      </c>
      <c r="I16" s="365" t="s">
        <v>397</v>
      </c>
      <c r="J16" s="365"/>
      <c r="N16" s="520">
        <f t="shared" si="0"/>
        <v>315185</v>
      </c>
      <c r="O16" s="1287"/>
      <c r="P16" s="374"/>
      <c r="Q16" s="374"/>
      <c r="R16" s="374"/>
      <c r="S16" s="374"/>
    </row>
    <row r="17" spans="1:19" s="971" customFormat="1" ht="17.25" customHeight="1" x14ac:dyDescent="0.25">
      <c r="B17" s="1213">
        <v>110000083851</v>
      </c>
      <c r="C17" s="879">
        <v>44895</v>
      </c>
      <c r="D17" s="879">
        <v>45992</v>
      </c>
      <c r="E17" s="880" t="s">
        <v>477</v>
      </c>
      <c r="F17" s="881">
        <v>786053.12</v>
      </c>
      <c r="G17" s="1214">
        <v>4.2</v>
      </c>
      <c r="H17" s="1364" t="s">
        <v>706</v>
      </c>
      <c r="I17" s="1365"/>
      <c r="J17" s="1365"/>
      <c r="N17" s="520">
        <f t="shared" si="0"/>
        <v>33014</v>
      </c>
      <c r="O17" s="1366"/>
      <c r="P17" s="974"/>
      <c r="Q17" s="974"/>
      <c r="R17" s="974"/>
      <c r="S17" s="974"/>
    </row>
    <row r="18" spans="1:19" s="971" customFormat="1" ht="17.25" customHeight="1" x14ac:dyDescent="0.25">
      <c r="B18" s="1213">
        <v>110000083898</v>
      </c>
      <c r="C18" s="879">
        <v>44895</v>
      </c>
      <c r="D18" s="879">
        <v>45992</v>
      </c>
      <c r="E18" s="880" t="s">
        <v>477</v>
      </c>
      <c r="F18" s="881">
        <v>1413550.77</v>
      </c>
      <c r="G18" s="1214">
        <v>4.2</v>
      </c>
      <c r="H18" s="1364" t="s">
        <v>706</v>
      </c>
      <c r="I18" s="1365"/>
      <c r="J18" s="1365"/>
      <c r="N18" s="520">
        <f t="shared" si="0"/>
        <v>59369</v>
      </c>
      <c r="O18" s="1366"/>
      <c r="P18" s="974"/>
      <c r="Q18" s="974"/>
      <c r="R18" s="974"/>
      <c r="S18" s="974"/>
    </row>
    <row r="19" spans="1:19" s="971" customFormat="1" ht="17.25" customHeight="1" x14ac:dyDescent="0.25">
      <c r="B19" s="1213">
        <v>110000058607</v>
      </c>
      <c r="C19" s="880" t="s">
        <v>398</v>
      </c>
      <c r="D19" s="879">
        <v>46020</v>
      </c>
      <c r="E19" s="880" t="s">
        <v>383</v>
      </c>
      <c r="F19" s="881">
        <v>2746534.21</v>
      </c>
      <c r="G19" s="808">
        <v>3.3</v>
      </c>
      <c r="H19" s="414" t="s">
        <v>375</v>
      </c>
      <c r="I19" s="365" t="s">
        <v>400</v>
      </c>
      <c r="J19" s="1365"/>
      <c r="N19" s="520">
        <f t="shared" si="0"/>
        <v>90636</v>
      </c>
      <c r="O19" s="1366"/>
      <c r="P19" s="974"/>
      <c r="Q19" s="974"/>
      <c r="R19" s="974"/>
      <c r="S19" s="974"/>
    </row>
    <row r="20" spans="1:19" s="365" customFormat="1" ht="21" customHeight="1" x14ac:dyDescent="0.25">
      <c r="B20" s="1213">
        <v>110000084106</v>
      </c>
      <c r="C20" s="880">
        <v>44917</v>
      </c>
      <c r="D20" s="879">
        <v>47840</v>
      </c>
      <c r="E20" s="880" t="s">
        <v>383</v>
      </c>
      <c r="F20" s="881">
        <v>427432.2</v>
      </c>
      <c r="G20" s="808">
        <v>5.5</v>
      </c>
      <c r="H20" s="1364" t="s">
        <v>706</v>
      </c>
      <c r="I20" s="365" t="s">
        <v>702</v>
      </c>
      <c r="N20" s="520">
        <f t="shared" si="0"/>
        <v>23509</v>
      </c>
      <c r="O20" s="1367"/>
      <c r="P20" s="353"/>
      <c r="Q20" s="353"/>
      <c r="R20" s="353"/>
      <c r="S20" s="353"/>
    </row>
    <row r="21" spans="1:19" s="520" customFormat="1" ht="21" customHeight="1" x14ac:dyDescent="0.25">
      <c r="A21" s="365"/>
      <c r="B21" s="1368" t="s">
        <v>401</v>
      </c>
      <c r="C21" s="1335"/>
      <c r="D21" s="1335"/>
      <c r="E21" s="1335"/>
      <c r="F21" s="1336">
        <f>SUM(F22:F30)</f>
        <v>59486927.659999996</v>
      </c>
      <c r="G21" s="816"/>
      <c r="H21" s="365"/>
      <c r="I21" s="365"/>
      <c r="N21" s="331">
        <f>SUM(N13:N20)</f>
        <v>4170869</v>
      </c>
      <c r="O21" s="1369">
        <f>N21/F12</f>
        <v>3.0609999999999998E-2</v>
      </c>
      <c r="P21" s="524"/>
      <c r="Q21" s="524"/>
      <c r="R21" s="524"/>
      <c r="S21" s="524"/>
    </row>
    <row r="22" spans="1:19" s="520" customFormat="1" ht="21" customHeight="1" x14ac:dyDescent="0.25">
      <c r="A22" s="365"/>
      <c r="B22" s="806" t="s">
        <v>526</v>
      </c>
      <c r="C22" s="879">
        <v>42599</v>
      </c>
      <c r="D22" s="879">
        <v>45155</v>
      </c>
      <c r="E22" s="880" t="s">
        <v>381</v>
      </c>
      <c r="F22" s="881">
        <v>1018418.66</v>
      </c>
      <c r="G22" s="808">
        <v>4.8</v>
      </c>
      <c r="H22" s="414" t="s">
        <v>375</v>
      </c>
      <c r="I22" s="365"/>
      <c r="J22" s="337"/>
      <c r="N22" s="520">
        <f t="shared" si="0"/>
        <v>48884</v>
      </c>
      <c r="O22" s="1363"/>
      <c r="P22" s="524"/>
      <c r="Q22" s="524"/>
      <c r="R22" s="524"/>
      <c r="S22" s="524"/>
    </row>
    <row r="23" spans="1:19" s="609" customFormat="1" ht="21" customHeight="1" x14ac:dyDescent="0.25">
      <c r="A23" s="640"/>
      <c r="B23" s="806" t="s">
        <v>527</v>
      </c>
      <c r="C23" s="879">
        <v>44075</v>
      </c>
      <c r="D23" s="879">
        <v>45168</v>
      </c>
      <c r="E23" s="880" t="s">
        <v>477</v>
      </c>
      <c r="F23" s="881">
        <v>21219665.16</v>
      </c>
      <c r="G23" s="808">
        <v>3</v>
      </c>
      <c r="H23" s="414" t="s">
        <v>375</v>
      </c>
      <c r="I23" s="640"/>
      <c r="J23" s="772"/>
      <c r="N23" s="520">
        <f t="shared" si="0"/>
        <v>636590</v>
      </c>
      <c r="O23" s="1370"/>
      <c r="P23" s="611"/>
      <c r="Q23" s="611"/>
      <c r="R23" s="611"/>
      <c r="S23" s="611"/>
    </row>
    <row r="24" spans="1:19" s="520" customFormat="1" ht="21" customHeight="1" x14ac:dyDescent="0.25">
      <c r="A24" s="365"/>
      <c r="B24" s="806" t="s">
        <v>528</v>
      </c>
      <c r="C24" s="879">
        <v>43340</v>
      </c>
      <c r="D24" s="879">
        <v>45530</v>
      </c>
      <c r="E24" s="880" t="s">
        <v>379</v>
      </c>
      <c r="F24" s="881">
        <v>97652.59</v>
      </c>
      <c r="G24" s="808">
        <v>4.875</v>
      </c>
      <c r="H24" s="414" t="s">
        <v>375</v>
      </c>
      <c r="I24" s="365" t="s">
        <v>480</v>
      </c>
      <c r="N24" s="520">
        <f t="shared" si="0"/>
        <v>4761</v>
      </c>
      <c r="O24" s="1363"/>
      <c r="P24" s="524"/>
      <c r="Q24" s="524"/>
      <c r="R24" s="524"/>
    </row>
    <row r="25" spans="1:19" s="370" customFormat="1" ht="21" customHeight="1" x14ac:dyDescent="0.25">
      <c r="A25" s="365"/>
      <c r="B25" s="806" t="s">
        <v>529</v>
      </c>
      <c r="C25" s="879">
        <v>43017</v>
      </c>
      <c r="D25" s="880">
        <v>45574</v>
      </c>
      <c r="E25" s="880" t="s">
        <v>381</v>
      </c>
      <c r="F25" s="881">
        <v>2364964.0499999998</v>
      </c>
      <c r="G25" s="808">
        <v>4.5</v>
      </c>
      <c r="H25" s="414" t="s">
        <v>375</v>
      </c>
      <c r="I25" s="365"/>
      <c r="J25" s="365"/>
      <c r="N25" s="520">
        <f t="shared" si="0"/>
        <v>106423</v>
      </c>
      <c r="O25" s="1287"/>
      <c r="P25" s="374"/>
      <c r="Q25" s="374"/>
      <c r="R25" s="374"/>
      <c r="S25" s="374"/>
    </row>
    <row r="26" spans="1:19" s="370" customFormat="1" ht="21" customHeight="1" x14ac:dyDescent="0.25">
      <c r="A26" s="365"/>
      <c r="B26" s="806" t="s">
        <v>530</v>
      </c>
      <c r="C26" s="879">
        <v>43511</v>
      </c>
      <c r="D26" s="880">
        <v>45702</v>
      </c>
      <c r="E26" s="880" t="s">
        <v>379</v>
      </c>
      <c r="F26" s="881">
        <v>274883.67</v>
      </c>
      <c r="G26" s="808">
        <v>5</v>
      </c>
      <c r="H26" s="414" t="s">
        <v>375</v>
      </c>
      <c r="I26" s="365" t="s">
        <v>420</v>
      </c>
      <c r="J26" s="365"/>
      <c r="N26" s="520">
        <f t="shared" si="0"/>
        <v>13744</v>
      </c>
      <c r="O26" s="1287"/>
      <c r="P26" s="374"/>
      <c r="Q26" s="374"/>
      <c r="R26" s="374"/>
      <c r="S26" s="374"/>
    </row>
    <row r="27" spans="1:19" s="370" customFormat="1" ht="21" customHeight="1" x14ac:dyDescent="0.25">
      <c r="A27" s="365"/>
      <c r="B27" s="806" t="s">
        <v>531</v>
      </c>
      <c r="C27" s="879">
        <v>43403</v>
      </c>
      <c r="D27" s="880">
        <v>45960</v>
      </c>
      <c r="E27" s="880" t="s">
        <v>381</v>
      </c>
      <c r="F27" s="881">
        <v>4617859.83</v>
      </c>
      <c r="G27" s="808">
        <v>5</v>
      </c>
      <c r="H27" s="414" t="s">
        <v>375</v>
      </c>
      <c r="I27" s="365" t="s">
        <v>532</v>
      </c>
      <c r="J27" s="365"/>
      <c r="N27" s="520">
        <f t="shared" si="0"/>
        <v>230893</v>
      </c>
      <c r="O27" s="1287"/>
      <c r="P27" s="374"/>
      <c r="Q27" s="374"/>
      <c r="R27" s="374"/>
      <c r="S27" s="374"/>
    </row>
    <row r="28" spans="1:19" s="520" customFormat="1" ht="21" customHeight="1" x14ac:dyDescent="0.25">
      <c r="A28" s="365"/>
      <c r="B28" s="806" t="s">
        <v>533</v>
      </c>
      <c r="C28" s="879">
        <v>43434</v>
      </c>
      <c r="D28" s="879">
        <v>45988</v>
      </c>
      <c r="E28" s="880" t="s">
        <v>381</v>
      </c>
      <c r="F28" s="881">
        <v>1760000</v>
      </c>
      <c r="G28" s="808">
        <v>5.125</v>
      </c>
      <c r="H28" s="414" t="s">
        <v>375</v>
      </c>
      <c r="I28" s="365" t="s">
        <v>451</v>
      </c>
      <c r="N28" s="520">
        <f t="shared" si="0"/>
        <v>90200</v>
      </c>
      <c r="O28" s="1363"/>
      <c r="P28" s="524"/>
      <c r="Q28" s="524"/>
      <c r="R28" s="524"/>
      <c r="S28" s="524"/>
    </row>
    <row r="29" spans="1:19" s="520" customFormat="1" ht="21" customHeight="1" x14ac:dyDescent="0.25">
      <c r="A29" s="365"/>
      <c r="B29" s="806" t="s">
        <v>534</v>
      </c>
      <c r="C29" s="879">
        <v>43452</v>
      </c>
      <c r="D29" s="879">
        <v>46007</v>
      </c>
      <c r="E29" s="880" t="s">
        <v>381</v>
      </c>
      <c r="F29" s="881">
        <v>748281.6</v>
      </c>
      <c r="G29" s="808">
        <v>5.125</v>
      </c>
      <c r="H29" s="414"/>
      <c r="I29" s="365"/>
      <c r="N29" s="520">
        <f t="shared" si="0"/>
        <v>38349</v>
      </c>
      <c r="O29" s="1363"/>
      <c r="P29" s="524"/>
      <c r="Q29" s="524"/>
      <c r="R29" s="524"/>
      <c r="S29" s="524"/>
    </row>
    <row r="30" spans="1:19" s="520" customFormat="1" ht="21" customHeight="1" x14ac:dyDescent="0.25">
      <c r="A30" s="365"/>
      <c r="B30" s="806" t="s">
        <v>707</v>
      </c>
      <c r="C30" s="879" t="s">
        <v>708</v>
      </c>
      <c r="D30" s="879" t="s">
        <v>709</v>
      </c>
      <c r="E30" s="880" t="s">
        <v>381</v>
      </c>
      <c r="F30" s="881">
        <v>27385202.100000001</v>
      </c>
      <c r="G30" s="808">
        <v>5.3</v>
      </c>
      <c r="H30" s="414" t="s">
        <v>375</v>
      </c>
      <c r="I30" s="405" t="s">
        <v>453</v>
      </c>
      <c r="N30" s="520">
        <f t="shared" si="0"/>
        <v>1451416</v>
      </c>
      <c r="O30" s="1363"/>
      <c r="P30" s="524"/>
      <c r="Q30" s="524"/>
      <c r="R30" s="524"/>
      <c r="S30" s="524"/>
    </row>
    <row r="31" spans="1:19" s="520" customFormat="1" ht="21" customHeight="1" x14ac:dyDescent="0.25">
      <c r="A31" s="365"/>
      <c r="B31" s="1324" t="s">
        <v>710</v>
      </c>
      <c r="C31" s="1226"/>
      <c r="D31" s="1226"/>
      <c r="E31" s="1230"/>
      <c r="F31" s="1061">
        <f>SUM(F32)</f>
        <v>13000000</v>
      </c>
      <c r="G31" s="1325"/>
      <c r="H31" s="1371"/>
      <c r="I31" s="405"/>
      <c r="N31" s="331">
        <f>SUM(N22:N30)</f>
        <v>2621260</v>
      </c>
      <c r="O31" s="1369">
        <f>N31/F21</f>
        <v>4.4060000000000002E-2</v>
      </c>
      <c r="P31" s="524"/>
      <c r="Q31" s="524"/>
      <c r="R31" s="524"/>
      <c r="S31" s="524"/>
    </row>
    <row r="32" spans="1:19" s="520" customFormat="1" ht="21" customHeight="1" x14ac:dyDescent="0.25">
      <c r="A32" s="365"/>
      <c r="B32" s="1372">
        <v>1710140460</v>
      </c>
      <c r="C32" s="879">
        <v>44925</v>
      </c>
      <c r="D32" s="879">
        <v>45656</v>
      </c>
      <c r="E32" s="880" t="s">
        <v>430</v>
      </c>
      <c r="F32" s="881">
        <v>13000000</v>
      </c>
      <c r="G32" s="808">
        <v>6.625</v>
      </c>
      <c r="H32" s="1371" t="s">
        <v>711</v>
      </c>
      <c r="I32" s="405"/>
      <c r="N32" s="520">
        <f t="shared" si="0"/>
        <v>861250</v>
      </c>
      <c r="O32" s="1363"/>
      <c r="P32" s="524"/>
      <c r="Q32" s="524"/>
      <c r="R32" s="524"/>
      <c r="S32" s="524"/>
    </row>
    <row r="33" spans="1:19" s="520" customFormat="1" ht="21" customHeight="1" x14ac:dyDescent="0.25">
      <c r="A33" s="365"/>
      <c r="B33" s="1324" t="s">
        <v>712</v>
      </c>
      <c r="C33" s="1226"/>
      <c r="D33" s="1226"/>
      <c r="E33" s="1230"/>
      <c r="F33" s="1061">
        <f>SUM(F34)</f>
        <v>20000000</v>
      </c>
      <c r="G33" s="1325"/>
      <c r="H33" s="1371"/>
      <c r="I33" s="405"/>
      <c r="O33" s="1363"/>
      <c r="P33" s="524"/>
      <c r="Q33" s="524"/>
      <c r="R33" s="524"/>
      <c r="S33" s="524"/>
    </row>
    <row r="34" spans="1:19" s="520" customFormat="1" ht="21" customHeight="1" x14ac:dyDescent="0.25">
      <c r="A34" s="365"/>
      <c r="B34" s="1372">
        <v>258906537</v>
      </c>
      <c r="C34" s="879">
        <v>44925</v>
      </c>
      <c r="D34" s="879">
        <v>45656</v>
      </c>
      <c r="E34" s="880" t="s">
        <v>430</v>
      </c>
      <c r="F34" s="881">
        <v>20000000</v>
      </c>
      <c r="G34" s="808">
        <v>7</v>
      </c>
      <c r="H34" s="1371"/>
      <c r="I34" s="405"/>
      <c r="N34" s="520">
        <f t="shared" si="0"/>
        <v>1400000</v>
      </c>
      <c r="O34" s="1363"/>
      <c r="P34" s="524"/>
      <c r="Q34" s="524"/>
      <c r="R34" s="524"/>
      <c r="S34" s="524"/>
    </row>
    <row r="35" spans="1:19" s="520" customFormat="1" ht="21" customHeight="1" x14ac:dyDescent="0.25">
      <c r="A35" s="365"/>
      <c r="B35" s="1373" t="s">
        <v>535</v>
      </c>
      <c r="C35" s="814"/>
      <c r="D35" s="814"/>
      <c r="E35" s="814"/>
      <c r="F35" s="1374">
        <f>SUM(F36)+F45</f>
        <v>16986747.649999999</v>
      </c>
      <c r="G35" s="816"/>
      <c r="H35" s="365"/>
      <c r="I35" s="365"/>
      <c r="N35" s="331">
        <f>SUM(N32:N34)</f>
        <v>2261250</v>
      </c>
      <c r="O35" s="1369">
        <f>N35/(F31+F33)</f>
        <v>6.8519999999999998E-2</v>
      </c>
      <c r="P35" s="524"/>
      <c r="Q35" s="524"/>
      <c r="R35" s="524"/>
      <c r="S35" s="524"/>
    </row>
    <row r="36" spans="1:19" s="520" customFormat="1" ht="21" customHeight="1" x14ac:dyDescent="0.25">
      <c r="A36" s="638"/>
      <c r="B36" s="1375" t="s">
        <v>372</v>
      </c>
      <c r="C36" s="1335"/>
      <c r="D36" s="1335"/>
      <c r="E36" s="1335"/>
      <c r="F36" s="1336">
        <f>SUM(F37:F44)</f>
        <v>8225438.8499999996</v>
      </c>
      <c r="G36" s="1235"/>
      <c r="H36" s="365"/>
      <c r="I36" s="365"/>
      <c r="O36" s="1363"/>
      <c r="P36" s="524"/>
      <c r="Q36" s="524"/>
      <c r="R36" s="524"/>
      <c r="S36" s="524"/>
    </row>
    <row r="37" spans="1:19" s="971" customFormat="1" ht="17.25" customHeight="1" x14ac:dyDescent="0.25">
      <c r="B37" s="636">
        <v>150000139040</v>
      </c>
      <c r="C37" s="628" t="s">
        <v>673</v>
      </c>
      <c r="D37" s="628">
        <v>45019</v>
      </c>
      <c r="E37" s="628" t="s">
        <v>674</v>
      </c>
      <c r="F37" s="1254">
        <v>4312657.37</v>
      </c>
      <c r="G37" s="1255">
        <v>3</v>
      </c>
      <c r="H37" s="1376"/>
      <c r="I37" s="1365"/>
      <c r="J37" s="1365"/>
      <c r="N37" s="520">
        <f t="shared" si="0"/>
        <v>129380</v>
      </c>
      <c r="O37" s="1366"/>
      <c r="P37" s="974"/>
      <c r="Q37" s="974"/>
      <c r="R37" s="974"/>
      <c r="S37" s="974"/>
    </row>
    <row r="38" spans="1:19" s="971" customFormat="1" ht="17.25" customHeight="1" x14ac:dyDescent="0.25">
      <c r="B38" s="636">
        <v>150000139050</v>
      </c>
      <c r="C38" s="628" t="s">
        <v>673</v>
      </c>
      <c r="D38" s="628">
        <v>45019</v>
      </c>
      <c r="E38" s="628" t="s">
        <v>674</v>
      </c>
      <c r="F38" s="1254">
        <v>2064037.82</v>
      </c>
      <c r="G38" s="1255">
        <v>3</v>
      </c>
      <c r="H38" s="1376"/>
      <c r="I38" s="1365"/>
      <c r="J38" s="1365"/>
      <c r="N38" s="520">
        <f t="shared" si="0"/>
        <v>61921</v>
      </c>
      <c r="O38" s="1366"/>
      <c r="P38" s="974"/>
      <c r="Q38" s="974"/>
      <c r="R38" s="974"/>
      <c r="S38" s="974"/>
    </row>
    <row r="39" spans="1:19" s="520" customFormat="1" ht="21" customHeight="1" x14ac:dyDescent="0.25">
      <c r="A39" s="365"/>
      <c r="B39" s="1213">
        <v>110000058115</v>
      </c>
      <c r="C39" s="880" t="s">
        <v>537</v>
      </c>
      <c r="D39" s="880">
        <v>45707</v>
      </c>
      <c r="E39" s="880" t="s">
        <v>381</v>
      </c>
      <c r="F39" s="881">
        <v>747863.42</v>
      </c>
      <c r="G39" s="808">
        <v>3.15</v>
      </c>
      <c r="H39" s="414" t="s">
        <v>375</v>
      </c>
      <c r="I39" s="405" t="s">
        <v>538</v>
      </c>
      <c r="N39" s="520">
        <f t="shared" si="0"/>
        <v>23558</v>
      </c>
      <c r="O39" s="1363"/>
      <c r="P39" s="524"/>
      <c r="Q39" s="524"/>
      <c r="R39" s="524"/>
      <c r="S39" s="524"/>
    </row>
    <row r="40" spans="1:19" s="370" customFormat="1" ht="21" customHeight="1" x14ac:dyDescent="0.25">
      <c r="A40" s="365"/>
      <c r="B40" s="1213">
        <v>110000053333</v>
      </c>
      <c r="C40" s="880">
        <v>42916</v>
      </c>
      <c r="D40" s="879">
        <v>45838</v>
      </c>
      <c r="E40" s="880" t="s">
        <v>383</v>
      </c>
      <c r="F40" s="881">
        <v>725842.91</v>
      </c>
      <c r="G40" s="1237">
        <v>3.25</v>
      </c>
      <c r="H40" s="414" t="s">
        <v>375</v>
      </c>
      <c r="I40" s="365" t="s">
        <v>397</v>
      </c>
      <c r="J40" s="365"/>
      <c r="N40" s="520">
        <f t="shared" si="0"/>
        <v>23590</v>
      </c>
      <c r="O40" s="1287"/>
      <c r="P40" s="374"/>
      <c r="Q40" s="374"/>
      <c r="R40" s="374"/>
      <c r="S40" s="374"/>
    </row>
    <row r="41" spans="1:19" s="370" customFormat="1" ht="21" customHeight="1" x14ac:dyDescent="0.25">
      <c r="A41" s="365"/>
      <c r="B41" s="1213">
        <v>110000083860</v>
      </c>
      <c r="C41" s="879">
        <v>44895</v>
      </c>
      <c r="D41" s="879">
        <v>45992</v>
      </c>
      <c r="E41" s="880" t="s">
        <v>477</v>
      </c>
      <c r="F41" s="881">
        <v>44505.72</v>
      </c>
      <c r="G41" s="1214">
        <v>4.2</v>
      </c>
      <c r="H41" s="1376" t="s">
        <v>713</v>
      </c>
      <c r="I41" s="365"/>
      <c r="J41" s="365"/>
      <c r="N41" s="520">
        <f t="shared" si="0"/>
        <v>1869</v>
      </c>
      <c r="O41" s="1287"/>
      <c r="P41" s="374"/>
      <c r="Q41" s="374"/>
      <c r="R41" s="374"/>
      <c r="S41" s="374"/>
    </row>
    <row r="42" spans="1:19" s="370" customFormat="1" ht="21" customHeight="1" x14ac:dyDescent="0.25">
      <c r="A42" s="365"/>
      <c r="B42" s="1213">
        <v>110000083904</v>
      </c>
      <c r="C42" s="879">
        <v>44895</v>
      </c>
      <c r="D42" s="879">
        <v>45992</v>
      </c>
      <c r="E42" s="880" t="s">
        <v>477</v>
      </c>
      <c r="F42" s="881">
        <v>84152.07</v>
      </c>
      <c r="G42" s="1214">
        <v>4.2</v>
      </c>
      <c r="H42" s="1376" t="s">
        <v>713</v>
      </c>
      <c r="I42" s="365"/>
      <c r="J42" s="365"/>
      <c r="N42" s="520">
        <f t="shared" si="0"/>
        <v>3534</v>
      </c>
      <c r="O42" s="1287"/>
      <c r="P42" s="374"/>
      <c r="Q42" s="374"/>
      <c r="R42" s="374"/>
      <c r="S42" s="374"/>
    </row>
    <row r="43" spans="1:19" s="370" customFormat="1" ht="21" customHeight="1" x14ac:dyDescent="0.25">
      <c r="A43" s="365"/>
      <c r="B43" s="1213">
        <v>110000058616</v>
      </c>
      <c r="C43" s="880" t="s">
        <v>398</v>
      </c>
      <c r="D43" s="879">
        <v>46020</v>
      </c>
      <c r="E43" s="880" t="s">
        <v>383</v>
      </c>
      <c r="F43" s="881">
        <v>216629.38</v>
      </c>
      <c r="G43" s="808">
        <v>3.3</v>
      </c>
      <c r="H43" s="414" t="s">
        <v>375</v>
      </c>
      <c r="I43" s="365" t="s">
        <v>400</v>
      </c>
      <c r="J43" s="365"/>
      <c r="N43" s="520">
        <f t="shared" si="0"/>
        <v>7149</v>
      </c>
      <c r="O43" s="1287"/>
      <c r="P43" s="374"/>
      <c r="Q43" s="374"/>
      <c r="R43" s="374"/>
      <c r="S43" s="374"/>
    </row>
    <row r="44" spans="1:19" s="365" customFormat="1" ht="21" customHeight="1" x14ac:dyDescent="0.25">
      <c r="B44" s="1213">
        <v>110000084115</v>
      </c>
      <c r="C44" s="880">
        <v>44917</v>
      </c>
      <c r="D44" s="879">
        <v>47840</v>
      </c>
      <c r="E44" s="880" t="s">
        <v>383</v>
      </c>
      <c r="F44" s="881">
        <v>29750.16</v>
      </c>
      <c r="G44" s="808">
        <v>5.5</v>
      </c>
      <c r="H44" s="1376" t="s">
        <v>713</v>
      </c>
      <c r="I44" s="365" t="s">
        <v>702</v>
      </c>
      <c r="N44" s="520">
        <f t="shared" si="0"/>
        <v>1636</v>
      </c>
      <c r="O44" s="1367"/>
      <c r="P44" s="353"/>
      <c r="Q44" s="353"/>
      <c r="R44" s="353"/>
      <c r="S44" s="353"/>
    </row>
    <row r="45" spans="1:19" s="365" customFormat="1" ht="21" customHeight="1" x14ac:dyDescent="0.25">
      <c r="B45" s="1377" t="s">
        <v>401</v>
      </c>
      <c r="C45" s="1289"/>
      <c r="D45" s="1289"/>
      <c r="E45" s="1289"/>
      <c r="F45" s="1336">
        <f>SUM(F46:F54)</f>
        <v>8761308.8000000007</v>
      </c>
      <c r="G45" s="1235"/>
      <c r="J45" s="337"/>
      <c r="N45" s="331">
        <f>SUM(N37:N44)</f>
        <v>252637</v>
      </c>
      <c r="O45" s="1287">
        <f>N45/F36</f>
        <v>3.0710000000000001E-2</v>
      </c>
      <c r="P45" s="353"/>
      <c r="Q45" s="353"/>
      <c r="R45" s="353"/>
      <c r="S45" s="353"/>
    </row>
    <row r="46" spans="1:19" s="520" customFormat="1" ht="21" customHeight="1" x14ac:dyDescent="0.25">
      <c r="A46" s="365"/>
      <c r="B46" s="806" t="s">
        <v>540</v>
      </c>
      <c r="C46" s="879">
        <v>42599</v>
      </c>
      <c r="D46" s="879">
        <v>45155</v>
      </c>
      <c r="E46" s="880" t="s">
        <v>381</v>
      </c>
      <c r="F46" s="881">
        <v>83810.31</v>
      </c>
      <c r="G46" s="808">
        <v>4.8</v>
      </c>
      <c r="H46" s="414"/>
      <c r="I46" s="405"/>
      <c r="J46" s="337"/>
      <c r="N46" s="520">
        <f t="shared" si="0"/>
        <v>4023</v>
      </c>
      <c r="O46" s="1363"/>
      <c r="P46" s="524"/>
      <c r="Q46" s="524"/>
      <c r="R46" s="524"/>
      <c r="S46" s="524"/>
    </row>
    <row r="47" spans="1:19" s="609" customFormat="1" ht="21" customHeight="1" x14ac:dyDescent="0.25">
      <c r="A47" s="640"/>
      <c r="B47" s="806" t="s">
        <v>541</v>
      </c>
      <c r="C47" s="879">
        <v>44075</v>
      </c>
      <c r="D47" s="879">
        <v>45168</v>
      </c>
      <c r="E47" s="880" t="s">
        <v>477</v>
      </c>
      <c r="F47" s="881">
        <v>3447151.24</v>
      </c>
      <c r="G47" s="808">
        <v>3</v>
      </c>
      <c r="H47" s="414" t="s">
        <v>375</v>
      </c>
      <c r="I47" s="610"/>
      <c r="J47" s="772"/>
      <c r="N47" s="520">
        <f t="shared" si="0"/>
        <v>103415</v>
      </c>
      <c r="O47" s="1370"/>
      <c r="P47" s="611"/>
      <c r="Q47" s="611"/>
      <c r="R47" s="611"/>
      <c r="S47" s="611"/>
    </row>
    <row r="48" spans="1:19" s="520" customFormat="1" ht="21" customHeight="1" x14ac:dyDescent="0.25">
      <c r="A48" s="365"/>
      <c r="B48" s="806" t="s">
        <v>528</v>
      </c>
      <c r="C48" s="879">
        <v>43340</v>
      </c>
      <c r="D48" s="879">
        <v>45530</v>
      </c>
      <c r="E48" s="880" t="s">
        <v>379</v>
      </c>
      <c r="F48" s="881">
        <v>7509.6</v>
      </c>
      <c r="G48" s="808">
        <v>4.875</v>
      </c>
      <c r="H48" s="414" t="s">
        <v>375</v>
      </c>
      <c r="I48" s="405" t="s">
        <v>480</v>
      </c>
      <c r="N48" s="520">
        <f t="shared" si="0"/>
        <v>366</v>
      </c>
      <c r="O48" s="1363"/>
      <c r="P48" s="524"/>
      <c r="Q48" s="524"/>
      <c r="R48" s="524"/>
    </row>
    <row r="49" spans="1:19" s="370" customFormat="1" ht="21" customHeight="1" x14ac:dyDescent="0.25">
      <c r="A49" s="365"/>
      <c r="B49" s="806" t="s">
        <v>542</v>
      </c>
      <c r="C49" s="879">
        <v>43017</v>
      </c>
      <c r="D49" s="880">
        <v>45574</v>
      </c>
      <c r="E49" s="880" t="s">
        <v>381</v>
      </c>
      <c r="F49" s="881">
        <v>171992.7</v>
      </c>
      <c r="G49" s="808">
        <v>4.5</v>
      </c>
      <c r="H49" s="414" t="s">
        <v>375</v>
      </c>
      <c r="I49" s="405">
        <v>2284</v>
      </c>
      <c r="J49" s="365"/>
      <c r="N49" s="520">
        <f t="shared" si="0"/>
        <v>7740</v>
      </c>
      <c r="O49" s="1287"/>
      <c r="P49" s="374"/>
      <c r="Q49" s="374"/>
      <c r="R49" s="374"/>
      <c r="S49" s="374"/>
    </row>
    <row r="50" spans="1:19" s="370" customFormat="1" ht="21" customHeight="1" x14ac:dyDescent="0.25">
      <c r="A50" s="365"/>
      <c r="B50" s="806" t="s">
        <v>543</v>
      </c>
      <c r="C50" s="879">
        <v>43511</v>
      </c>
      <c r="D50" s="880">
        <v>45702</v>
      </c>
      <c r="E50" s="880" t="s">
        <v>379</v>
      </c>
      <c r="F50" s="881">
        <v>130690.62</v>
      </c>
      <c r="G50" s="808">
        <v>5</v>
      </c>
      <c r="H50" s="414" t="s">
        <v>375</v>
      </c>
      <c r="I50" s="365" t="s">
        <v>420</v>
      </c>
      <c r="J50" s="365"/>
      <c r="N50" s="520">
        <f t="shared" si="0"/>
        <v>6535</v>
      </c>
      <c r="O50" s="1287"/>
      <c r="P50" s="374"/>
      <c r="Q50" s="374"/>
      <c r="R50" s="374"/>
      <c r="S50" s="374"/>
    </row>
    <row r="51" spans="1:19" s="370" customFormat="1" ht="21" customHeight="1" x14ac:dyDescent="0.25">
      <c r="A51" s="365"/>
      <c r="B51" s="806" t="s">
        <v>544</v>
      </c>
      <c r="C51" s="879">
        <v>43403</v>
      </c>
      <c r="D51" s="880">
        <v>45960</v>
      </c>
      <c r="E51" s="880" t="s">
        <v>381</v>
      </c>
      <c r="F51" s="881">
        <v>210447.4</v>
      </c>
      <c r="G51" s="808">
        <v>5</v>
      </c>
      <c r="H51" s="414" t="s">
        <v>375</v>
      </c>
      <c r="I51" s="405" t="s">
        <v>532</v>
      </c>
      <c r="J51" s="365"/>
      <c r="N51" s="520">
        <f t="shared" si="0"/>
        <v>10522</v>
      </c>
      <c r="O51" s="1287"/>
      <c r="P51" s="374"/>
      <c r="Q51" s="374"/>
      <c r="R51" s="374"/>
      <c r="S51" s="374"/>
    </row>
    <row r="52" spans="1:19" s="520" customFormat="1" ht="21" customHeight="1" x14ac:dyDescent="0.25">
      <c r="A52" s="365"/>
      <c r="B52" s="806" t="s">
        <v>545</v>
      </c>
      <c r="C52" s="879">
        <v>43434</v>
      </c>
      <c r="D52" s="879">
        <v>45988</v>
      </c>
      <c r="E52" s="880" t="s">
        <v>381</v>
      </c>
      <c r="F52" s="881">
        <v>130000</v>
      </c>
      <c r="G52" s="808">
        <v>5.125</v>
      </c>
      <c r="H52" s="414" t="s">
        <v>375</v>
      </c>
      <c r="I52" s="405" t="s">
        <v>451</v>
      </c>
      <c r="N52" s="520">
        <f t="shared" si="0"/>
        <v>6663</v>
      </c>
      <c r="O52" s="1363"/>
      <c r="P52" s="524"/>
      <c r="Q52" s="524"/>
      <c r="R52" s="524"/>
      <c r="S52" s="524"/>
    </row>
    <row r="53" spans="1:19" s="520" customFormat="1" ht="21" customHeight="1" x14ac:dyDescent="0.25">
      <c r="A53" s="365"/>
      <c r="B53" s="806" t="s">
        <v>546</v>
      </c>
      <c r="C53" s="879">
        <v>43452</v>
      </c>
      <c r="D53" s="879">
        <v>46007</v>
      </c>
      <c r="E53" s="880" t="s">
        <v>381</v>
      </c>
      <c r="F53" s="881">
        <v>55270.8</v>
      </c>
      <c r="G53" s="808">
        <v>5.125</v>
      </c>
      <c r="H53" s="414"/>
      <c r="I53" s="405"/>
      <c r="N53" s="520">
        <f t="shared" si="0"/>
        <v>2833</v>
      </c>
      <c r="O53" s="1363"/>
      <c r="P53" s="524"/>
      <c r="Q53" s="524"/>
      <c r="R53" s="524"/>
      <c r="S53" s="524"/>
    </row>
    <row r="54" spans="1:19" s="520" customFormat="1" ht="21" customHeight="1" x14ac:dyDescent="0.25">
      <c r="A54" s="365"/>
      <c r="B54" s="806" t="s">
        <v>714</v>
      </c>
      <c r="C54" s="879" t="s">
        <v>708</v>
      </c>
      <c r="D54" s="879" t="s">
        <v>709</v>
      </c>
      <c r="E54" s="880" t="s">
        <v>381</v>
      </c>
      <c r="F54" s="881">
        <v>4524436.13</v>
      </c>
      <c r="G54" s="808">
        <v>5.3</v>
      </c>
      <c r="H54" s="414" t="s">
        <v>375</v>
      </c>
      <c r="I54" s="405" t="s">
        <v>453</v>
      </c>
      <c r="N54" s="520">
        <f t="shared" si="0"/>
        <v>239795</v>
      </c>
      <c r="O54" s="1363"/>
      <c r="P54" s="524"/>
      <c r="Q54" s="524"/>
      <c r="R54" s="524"/>
      <c r="S54" s="524"/>
    </row>
    <row r="55" spans="1:19" s="937" customFormat="1" ht="21" customHeight="1" x14ac:dyDescent="0.3">
      <c r="A55" s="1025"/>
      <c r="B55" s="1026" t="str">
        <f>'[11]SERVICIO DE CONTABILIDAD'!$B$19</f>
        <v xml:space="preserve">FUENTE: DEPTO DE TESORERIA - DNF </v>
      </c>
      <c r="C55" s="1027"/>
      <c r="D55" s="1027"/>
      <c r="E55" s="1027"/>
      <c r="F55" s="1027"/>
      <c r="G55" s="1028"/>
      <c r="H55" s="1029"/>
      <c r="I55" s="1029"/>
      <c r="J55" s="943"/>
      <c r="N55" s="937">
        <f>SUM(N46:N54)</f>
        <v>381892</v>
      </c>
      <c r="O55" s="1302">
        <f>N55/F45</f>
        <v>4.3589999999999997E-2</v>
      </c>
      <c r="P55" s="944"/>
      <c r="Q55" s="944"/>
      <c r="R55" s="944"/>
      <c r="S55" s="944"/>
    </row>
    <row r="56" spans="1:19" s="937" customFormat="1" ht="21" customHeight="1" x14ac:dyDescent="0.3">
      <c r="A56" s="1025"/>
      <c r="B56" s="945" t="str">
        <f>'[11]RESUMEN '!B45:K45</f>
        <v>29/03/2023</v>
      </c>
      <c r="C56" s="946"/>
      <c r="D56" s="946"/>
      <c r="E56" s="946"/>
      <c r="F56" s="946"/>
      <c r="G56" s="947"/>
      <c r="H56" s="839"/>
      <c r="I56" s="891"/>
      <c r="J56" s="891"/>
      <c r="O56" s="1302"/>
      <c r="P56" s="944"/>
      <c r="Q56" s="944"/>
      <c r="R56" s="944"/>
      <c r="S56" s="944"/>
    </row>
    <row r="57" spans="1:19" s="937" customFormat="1" ht="21" customHeight="1" x14ac:dyDescent="0.3">
      <c r="A57" s="1025"/>
      <c r="B57" s="950" t="str">
        <f>'[11]VENC. '!B$206</f>
        <v>Preparado por:    _______________________________________</v>
      </c>
      <c r="C57" s="951"/>
      <c r="D57" s="1704" t="str">
        <f>'[11]VENC. '!D$206</f>
        <v>Revisado por:      ___________________________________</v>
      </c>
      <c r="E57" s="1704"/>
      <c r="F57" s="1704"/>
      <c r="G57" s="1705"/>
      <c r="H57" s="839"/>
      <c r="I57" s="891"/>
      <c r="J57" s="891"/>
      <c r="O57" s="1302"/>
      <c r="P57" s="944"/>
      <c r="Q57" s="944"/>
      <c r="R57" s="944"/>
      <c r="S57" s="944"/>
    </row>
    <row r="58" spans="1:19" s="937" customFormat="1" ht="9.75" customHeight="1" x14ac:dyDescent="0.3">
      <c r="A58" s="1025"/>
      <c r="B58" s="1684" t="s">
        <v>705</v>
      </c>
      <c r="C58" s="1644"/>
      <c r="D58" s="449"/>
      <c r="E58" s="1704" t="str">
        <f>'[11]VENC. '!D$207</f>
        <v>Lic. Matilde Jordán</v>
      </c>
      <c r="F58" s="1704"/>
      <c r="G58" s="1705"/>
      <c r="H58" s="839"/>
      <c r="I58" s="891"/>
      <c r="J58" s="891"/>
      <c r="O58" s="1302"/>
      <c r="P58" s="944"/>
      <c r="Q58" s="944"/>
      <c r="R58" s="944"/>
      <c r="S58" s="944"/>
    </row>
    <row r="59" spans="1:19" s="937" customFormat="1" ht="28.5" customHeight="1" x14ac:dyDescent="0.3">
      <c r="A59" s="1025"/>
      <c r="B59" s="1675" t="str">
        <f>'[11]VENC. '!B208:C208</f>
        <v>Analista Financiero</v>
      </c>
      <c r="C59" s="1676"/>
      <c r="D59" s="577"/>
      <c r="E59" s="1707" t="str">
        <f>'[11]VENC. '!$D$208</f>
        <v>Jefa del Departamento de Tesorería.</v>
      </c>
      <c r="F59" s="1707"/>
      <c r="G59" s="1708"/>
      <c r="H59" s="839"/>
      <c r="I59" s="891"/>
      <c r="J59" s="891"/>
      <c r="O59" s="1302"/>
      <c r="P59" s="944"/>
      <c r="Q59" s="944"/>
      <c r="R59" s="944"/>
      <c r="S59" s="944"/>
    </row>
    <row r="60" spans="1:19" ht="21" customHeight="1" x14ac:dyDescent="0.35">
      <c r="B60" s="449"/>
      <c r="C60" s="449"/>
      <c r="D60" s="449"/>
      <c r="E60" s="449"/>
      <c r="F60" s="449"/>
      <c r="G60" s="450"/>
    </row>
    <row r="63" spans="1:19" ht="21" customHeight="1" x14ac:dyDescent="0.35">
      <c r="C63" s="453" t="s">
        <v>18</v>
      </c>
    </row>
  </sheetData>
  <mergeCells count="20">
    <mergeCell ref="K1:O1"/>
    <mergeCell ref="B2:G2"/>
    <mergeCell ref="J2:O2"/>
    <mergeCell ref="B3:G3"/>
    <mergeCell ref="J3:J5"/>
    <mergeCell ref="B4:G4"/>
    <mergeCell ref="B5:G5"/>
    <mergeCell ref="B59:C59"/>
    <mergeCell ref="E59:G59"/>
    <mergeCell ref="B6:B8"/>
    <mergeCell ref="C6:D7"/>
    <mergeCell ref="E6:E8"/>
    <mergeCell ref="F6:F7"/>
    <mergeCell ref="G6:G8"/>
    <mergeCell ref="J6:O7"/>
    <mergeCell ref="B10:D10"/>
    <mergeCell ref="D57:G57"/>
    <mergeCell ref="B58:C58"/>
    <mergeCell ref="E58:G58"/>
    <mergeCell ref="H6:H8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S73"/>
  <sheetViews>
    <sheetView workbookViewId="0">
      <selection activeCell="M22" sqref="M22"/>
    </sheetView>
  </sheetViews>
  <sheetFormatPr baseColWidth="10" defaultColWidth="17.7265625" defaultRowHeight="15.5" x14ac:dyDescent="0.35"/>
  <cols>
    <col min="1" max="1" width="7.453125" style="355" customWidth="1"/>
    <col min="2" max="2" width="37" style="365" customWidth="1"/>
    <col min="3" max="5" width="17.7265625" style="365"/>
    <col min="6" max="6" width="19.453125" style="365" customWidth="1"/>
    <col min="7" max="7" width="22.1796875" style="345" customWidth="1"/>
    <col min="8" max="8" width="28.1796875" style="405" hidden="1" customWidth="1"/>
    <col min="9" max="9" width="28.1796875" style="365" hidden="1" customWidth="1"/>
    <col min="10" max="10" width="17.7265625" style="358" hidden="1" customWidth="1"/>
    <col min="11" max="11" width="17.7265625" style="355" hidden="1" customWidth="1"/>
    <col min="12" max="12" width="17.7265625" style="355" customWidth="1"/>
    <col min="13" max="13" width="17.7265625" style="1378"/>
    <col min="14" max="14" width="17.7265625" style="355"/>
    <col min="15" max="19" width="17.7265625" style="359"/>
    <col min="20" max="16384" width="17.7265625" style="355"/>
  </cols>
  <sheetData>
    <row r="1" spans="1:19" s="331" customFormat="1" ht="17.25" customHeight="1" x14ac:dyDescent="0.25">
      <c r="B1" s="1379"/>
      <c r="C1" s="1380"/>
      <c r="D1" s="1380"/>
      <c r="E1" s="1380"/>
      <c r="F1" s="1380"/>
      <c r="G1" s="1381" t="s">
        <v>499</v>
      </c>
      <c r="H1" s="405"/>
      <c r="I1" s="365"/>
      <c r="J1" s="338"/>
      <c r="K1" s="1654"/>
      <c r="L1" s="1654"/>
      <c r="M1" s="1654"/>
      <c r="N1" s="1654"/>
      <c r="O1" s="1654"/>
      <c r="P1" s="340"/>
      <c r="Q1" s="340"/>
      <c r="R1" s="340"/>
      <c r="S1" s="340"/>
    </row>
    <row r="2" spans="1:19" s="341" customFormat="1" ht="21.75" customHeight="1" x14ac:dyDescent="0.25">
      <c r="B2" s="1761" t="s">
        <v>0</v>
      </c>
      <c r="C2" s="1762"/>
      <c r="D2" s="1762"/>
      <c r="E2" s="1762"/>
      <c r="F2" s="1762"/>
      <c r="G2" s="1763"/>
      <c r="H2" s="405"/>
      <c r="I2" s="365"/>
      <c r="J2" s="1658"/>
      <c r="K2" s="1658"/>
      <c r="L2" s="1658"/>
      <c r="M2" s="1658"/>
      <c r="N2" s="1658"/>
      <c r="O2" s="1658"/>
      <c r="P2" s="346"/>
      <c r="Q2" s="346"/>
      <c r="R2" s="346"/>
      <c r="S2" s="346"/>
    </row>
    <row r="3" spans="1:19" s="352" customFormat="1" ht="21.75" customHeight="1" x14ac:dyDescent="0.25">
      <c r="A3" s="347"/>
      <c r="B3" s="1759" t="s">
        <v>426</v>
      </c>
      <c r="C3" s="1764"/>
      <c r="D3" s="1764"/>
      <c r="E3" s="1764"/>
      <c r="F3" s="1764"/>
      <c r="G3" s="1760"/>
      <c r="H3" s="413"/>
      <c r="I3" s="668"/>
      <c r="J3" s="1662"/>
      <c r="K3" s="351"/>
      <c r="L3" s="351"/>
      <c r="M3" s="1359"/>
      <c r="N3" s="351"/>
      <c r="O3" s="351"/>
      <c r="P3" s="346"/>
      <c r="Q3" s="346"/>
      <c r="R3" s="346"/>
      <c r="S3" s="347"/>
    </row>
    <row r="4" spans="1:19" s="352" customFormat="1" ht="29.25" customHeight="1" x14ac:dyDescent="0.25">
      <c r="A4" s="347"/>
      <c r="B4" s="1759" t="s">
        <v>500</v>
      </c>
      <c r="C4" s="1764"/>
      <c r="D4" s="1764"/>
      <c r="E4" s="1764"/>
      <c r="F4" s="1764"/>
      <c r="G4" s="1760"/>
      <c r="H4" s="413"/>
      <c r="I4" s="668"/>
      <c r="J4" s="1662"/>
      <c r="K4" s="351"/>
      <c r="L4" s="351"/>
      <c r="M4" s="1359"/>
      <c r="N4" s="351"/>
      <c r="O4" s="351"/>
      <c r="P4" s="346"/>
      <c r="Q4" s="346"/>
      <c r="R4" s="346"/>
      <c r="S4" s="347"/>
    </row>
    <row r="5" spans="1:19" s="341" customFormat="1" ht="21.75" customHeight="1" x14ac:dyDescent="0.25">
      <c r="B5" s="1765" t="str">
        <f>'[11]VENC. '!$B$4</f>
        <v xml:space="preserve"> AL 31 DE MARZO DE 2023</v>
      </c>
      <c r="C5" s="1766"/>
      <c r="D5" s="1766"/>
      <c r="E5" s="1766"/>
      <c r="F5" s="1766"/>
      <c r="G5" s="1767"/>
      <c r="H5" s="413"/>
      <c r="I5" s="589"/>
      <c r="J5" s="1662"/>
      <c r="K5" s="353"/>
      <c r="L5" s="353"/>
      <c r="M5" s="1360"/>
      <c r="N5" s="345"/>
      <c r="O5" s="354"/>
      <c r="P5" s="346"/>
      <c r="Q5" s="346"/>
      <c r="R5" s="346"/>
      <c r="S5" s="346"/>
    </row>
    <row r="6" spans="1:19" ht="13.5" customHeight="1" x14ac:dyDescent="0.35">
      <c r="B6" s="1738" t="s">
        <v>362</v>
      </c>
      <c r="C6" s="1759" t="s">
        <v>363</v>
      </c>
      <c r="D6" s="1760"/>
      <c r="E6" s="1738" t="s">
        <v>364</v>
      </c>
      <c r="F6" s="1738" t="s">
        <v>365</v>
      </c>
      <c r="G6" s="1738" t="s">
        <v>366</v>
      </c>
      <c r="H6" s="1737" t="s">
        <v>367</v>
      </c>
      <c r="J6" s="1640"/>
      <c r="K6" s="1640"/>
      <c r="L6" s="1640"/>
      <c r="M6" s="1640"/>
      <c r="N6" s="1640"/>
      <c r="O6" s="1640"/>
    </row>
    <row r="7" spans="1:19" ht="13.5" customHeight="1" x14ac:dyDescent="0.35">
      <c r="B7" s="1738"/>
      <c r="C7" s="1759"/>
      <c r="D7" s="1760"/>
      <c r="E7" s="1738"/>
      <c r="F7" s="1738"/>
      <c r="G7" s="1738"/>
      <c r="H7" s="1738"/>
      <c r="J7" s="1640"/>
      <c r="K7" s="1640"/>
      <c r="L7" s="1640"/>
      <c r="M7" s="1640"/>
      <c r="N7" s="1640"/>
      <c r="O7" s="1640"/>
    </row>
    <row r="8" spans="1:19" ht="21" customHeight="1" x14ac:dyDescent="0.35">
      <c r="B8" s="1739"/>
      <c r="C8" s="1382" t="s">
        <v>368</v>
      </c>
      <c r="D8" s="1383" t="s">
        <v>369</v>
      </c>
      <c r="E8" s="1739"/>
      <c r="F8" s="1278" t="s">
        <v>370</v>
      </c>
      <c r="G8" s="1739"/>
      <c r="H8" s="1739"/>
      <c r="I8" s="353"/>
      <c r="J8" s="1691"/>
      <c r="K8" s="338"/>
      <c r="L8" s="338"/>
      <c r="M8" s="1361"/>
      <c r="N8" s="338"/>
      <c r="O8" s="338"/>
      <c r="P8" s="340"/>
    </row>
    <row r="9" spans="1:19" s="370" customFormat="1" ht="12.75" customHeight="1" x14ac:dyDescent="0.25">
      <c r="B9" s="1384"/>
      <c r="C9" s="365"/>
      <c r="D9" s="1385" t="s">
        <v>18</v>
      </c>
      <c r="E9" s="1386"/>
      <c r="F9" s="1387"/>
      <c r="G9" s="1388"/>
      <c r="H9" s="674"/>
      <c r="I9" s="353"/>
      <c r="J9" s="1691"/>
      <c r="K9" s="365"/>
      <c r="L9" s="365"/>
      <c r="M9" s="1367"/>
      <c r="N9" s="365"/>
      <c r="O9" s="353"/>
      <c r="P9" s="374"/>
      <c r="Q9" s="374"/>
      <c r="R9" s="374"/>
      <c r="S9" s="374"/>
    </row>
    <row r="10" spans="1:19" ht="21" customHeight="1" x14ac:dyDescent="0.35">
      <c r="B10" s="1755" t="s">
        <v>502</v>
      </c>
      <c r="C10" s="1756"/>
      <c r="D10" s="1756"/>
      <c r="E10" s="1756"/>
      <c r="F10" s="1290">
        <f>SUM(F11+F24+F33)</f>
        <v>561831523.60000002</v>
      </c>
      <c r="G10" s="1388"/>
      <c r="H10" s="674"/>
      <c r="I10" s="353"/>
      <c r="J10" s="674"/>
      <c r="K10" s="670"/>
      <c r="L10" s="670"/>
      <c r="M10" s="1389"/>
      <c r="N10" s="670"/>
      <c r="O10" s="670"/>
    </row>
    <row r="11" spans="1:19" ht="21" customHeight="1" x14ac:dyDescent="0.35">
      <c r="B11" s="1390" t="s">
        <v>503</v>
      </c>
      <c r="C11" s="370"/>
      <c r="D11" s="370"/>
      <c r="E11" s="370"/>
      <c r="F11" s="1336">
        <f>F12+F70</f>
        <v>538527287.04999995</v>
      </c>
      <c r="G11" s="1388"/>
      <c r="H11" s="674"/>
      <c r="I11" s="353"/>
      <c r="J11" s="674"/>
      <c r="K11" s="670"/>
      <c r="L11" s="670"/>
      <c r="M11" s="1389"/>
      <c r="N11" s="670"/>
      <c r="O11" s="670"/>
    </row>
    <row r="12" spans="1:19" s="370" customFormat="1" ht="21" customHeight="1" x14ac:dyDescent="0.25">
      <c r="B12" s="1390" t="s">
        <v>372</v>
      </c>
      <c r="C12" s="1391"/>
      <c r="D12" s="1391"/>
      <c r="E12" s="1392"/>
      <c r="F12" s="1336">
        <f>SUM(F13:F19)</f>
        <v>528440270.05000001</v>
      </c>
      <c r="G12" s="1388"/>
      <c r="H12" s="674"/>
      <c r="I12" s="353"/>
      <c r="J12" s="672"/>
      <c r="M12" s="1287"/>
      <c r="O12" s="374"/>
      <c r="P12" s="374"/>
      <c r="Q12" s="374"/>
      <c r="R12" s="374"/>
      <c r="S12" s="374"/>
    </row>
    <row r="13" spans="1:19" s="370" customFormat="1" ht="21" customHeight="1" x14ac:dyDescent="0.25">
      <c r="B13" s="1393" t="s">
        <v>715</v>
      </c>
      <c r="C13" s="1394" t="s">
        <v>673</v>
      </c>
      <c r="D13" s="1395">
        <v>45019</v>
      </c>
      <c r="E13" s="1396" t="s">
        <v>674</v>
      </c>
      <c r="F13" s="1397">
        <v>1000000</v>
      </c>
      <c r="G13" s="1398">
        <v>3</v>
      </c>
      <c r="H13" s="1039"/>
      <c r="I13" s="1049"/>
      <c r="J13" s="672"/>
      <c r="L13" s="365">
        <f>F13*G13/100</f>
        <v>30000</v>
      </c>
      <c r="M13" s="1287"/>
      <c r="O13" s="374"/>
      <c r="P13" s="374"/>
      <c r="Q13" s="374"/>
      <c r="R13" s="374"/>
      <c r="S13" s="374"/>
    </row>
    <row r="14" spans="1:19" s="370" customFormat="1" ht="21" customHeight="1" x14ac:dyDescent="0.25">
      <c r="B14" s="1399">
        <v>110000082999</v>
      </c>
      <c r="C14" s="872">
        <v>44831</v>
      </c>
      <c r="D14" s="879">
        <v>45103</v>
      </c>
      <c r="E14" s="880" t="s">
        <v>716</v>
      </c>
      <c r="F14" s="1400">
        <v>88943771.780000001</v>
      </c>
      <c r="G14" s="1401">
        <v>2.65</v>
      </c>
      <c r="H14" s="1039"/>
      <c r="I14" s="1049"/>
      <c r="J14" s="672"/>
      <c r="L14" s="365">
        <f t="shared" ref="L14:L63" si="0">F14*G14/100</f>
        <v>2357010</v>
      </c>
      <c r="M14" s="1287"/>
      <c r="O14" s="374"/>
      <c r="P14" s="374"/>
      <c r="Q14" s="374"/>
      <c r="R14" s="374"/>
      <c r="S14" s="374"/>
    </row>
    <row r="15" spans="1:19" s="370" customFormat="1" ht="21" customHeight="1" x14ac:dyDescent="0.25">
      <c r="B15" s="1399">
        <v>110000083000</v>
      </c>
      <c r="C15" s="880">
        <v>44831</v>
      </c>
      <c r="D15" s="879">
        <v>45103</v>
      </c>
      <c r="E15" s="880" t="s">
        <v>716</v>
      </c>
      <c r="F15" s="881">
        <v>26112559.23</v>
      </c>
      <c r="G15" s="1325">
        <v>2.65</v>
      </c>
      <c r="H15" s="1039" t="s">
        <v>375</v>
      </c>
      <c r="I15" s="353"/>
      <c r="J15" s="672"/>
      <c r="L15" s="365">
        <f t="shared" si="0"/>
        <v>691983</v>
      </c>
      <c r="M15" s="1287"/>
      <c r="O15" s="374"/>
      <c r="P15" s="374"/>
      <c r="Q15" s="374"/>
      <c r="R15" s="374"/>
      <c r="S15" s="374"/>
    </row>
    <row r="16" spans="1:19" s="370" customFormat="1" ht="21" customHeight="1" x14ac:dyDescent="0.25">
      <c r="B16" s="1399">
        <v>110000083038</v>
      </c>
      <c r="C16" s="880">
        <v>44831</v>
      </c>
      <c r="D16" s="879">
        <v>45103</v>
      </c>
      <c r="E16" s="880" t="s">
        <v>716</v>
      </c>
      <c r="F16" s="881">
        <v>212080346.53999999</v>
      </c>
      <c r="G16" s="1325">
        <v>2.65</v>
      </c>
      <c r="H16" s="1039" t="s">
        <v>375</v>
      </c>
      <c r="I16" s="353"/>
      <c r="J16" s="672"/>
      <c r="L16" s="365">
        <f t="shared" si="0"/>
        <v>5620129</v>
      </c>
      <c r="M16" s="1287"/>
      <c r="O16" s="374"/>
      <c r="P16" s="374"/>
      <c r="Q16" s="374"/>
      <c r="R16" s="374"/>
      <c r="S16" s="374"/>
    </row>
    <row r="17" spans="2:19" s="370" customFormat="1" ht="21" customHeight="1" x14ac:dyDescent="0.25">
      <c r="B17" s="1402">
        <v>110000083029</v>
      </c>
      <c r="C17" s="872">
        <v>44831</v>
      </c>
      <c r="D17" s="879">
        <v>45103</v>
      </c>
      <c r="E17" s="880" t="s">
        <v>716</v>
      </c>
      <c r="F17" s="807">
        <v>189800045.22999999</v>
      </c>
      <c r="G17" s="808">
        <v>2.65</v>
      </c>
      <c r="H17" s="1039" t="s">
        <v>375</v>
      </c>
      <c r="I17" s="353"/>
      <c r="J17" s="672"/>
      <c r="L17" s="365">
        <f t="shared" si="0"/>
        <v>5029701</v>
      </c>
      <c r="M17" s="1287"/>
      <c r="O17" s="374"/>
      <c r="P17" s="374"/>
      <c r="Q17" s="374"/>
      <c r="R17" s="374"/>
      <c r="S17" s="374"/>
    </row>
    <row r="18" spans="2:19" s="370" customFormat="1" ht="21" customHeight="1" x14ac:dyDescent="0.25">
      <c r="B18" s="1402">
        <v>110000083010</v>
      </c>
      <c r="C18" s="1403">
        <v>44831</v>
      </c>
      <c r="D18" s="1404">
        <v>45103</v>
      </c>
      <c r="E18" s="880" t="s">
        <v>716</v>
      </c>
      <c r="F18" s="807">
        <v>9596722.8300000001</v>
      </c>
      <c r="G18" s="808">
        <v>2.65</v>
      </c>
      <c r="H18" s="1039" t="s">
        <v>375</v>
      </c>
      <c r="I18" s="353"/>
      <c r="J18" s="672"/>
      <c r="L18" s="365">
        <f t="shared" si="0"/>
        <v>254313</v>
      </c>
      <c r="M18" s="1287"/>
      <c r="O18" s="374"/>
      <c r="P18" s="374"/>
      <c r="Q18" s="374"/>
      <c r="R18" s="374"/>
      <c r="S18" s="374"/>
    </row>
    <row r="19" spans="2:19" s="370" customFormat="1" ht="21" customHeight="1" x14ac:dyDescent="0.25">
      <c r="B19" s="1405">
        <v>110000083996</v>
      </c>
      <c r="C19" s="1406">
        <v>44902</v>
      </c>
      <c r="D19" s="1407">
        <v>46000</v>
      </c>
      <c r="E19" s="1221" t="s">
        <v>477</v>
      </c>
      <c r="F19" s="1408">
        <v>906824.44</v>
      </c>
      <c r="G19" s="1409">
        <v>4.95</v>
      </c>
      <c r="H19" s="1039" t="s">
        <v>375</v>
      </c>
      <c r="I19" s="353" t="s">
        <v>678</v>
      </c>
      <c r="J19" s="672"/>
      <c r="L19" s="365">
        <f t="shared" si="0"/>
        <v>44888</v>
      </c>
      <c r="M19" s="1287"/>
      <c r="O19" s="374"/>
      <c r="P19" s="374"/>
      <c r="Q19" s="374"/>
      <c r="R19" s="374"/>
      <c r="S19" s="374"/>
    </row>
    <row r="20" spans="2:19" s="370" customFormat="1" ht="21" customHeight="1" x14ac:dyDescent="0.25">
      <c r="M20" s="1287"/>
      <c r="O20" s="374"/>
      <c r="P20" s="374"/>
      <c r="Q20" s="374"/>
      <c r="R20" s="374"/>
      <c r="S20" s="374"/>
    </row>
    <row r="21" spans="2:19" s="370" customFormat="1" ht="21" customHeight="1" x14ac:dyDescent="0.25">
      <c r="M21" s="1287"/>
      <c r="O21" s="374"/>
      <c r="P21" s="374"/>
      <c r="Q21" s="374"/>
      <c r="R21" s="374"/>
      <c r="S21" s="374"/>
    </row>
    <row r="22" spans="2:19" s="370" customFormat="1" ht="21" customHeight="1" x14ac:dyDescent="0.25">
      <c r="M22" s="1287"/>
      <c r="O22" s="374"/>
      <c r="P22" s="374"/>
      <c r="Q22" s="374"/>
      <c r="R22" s="374"/>
      <c r="S22" s="374"/>
    </row>
    <row r="23" spans="2:19" s="370" customFormat="1" ht="21" hidden="1" customHeight="1" x14ac:dyDescent="0.25">
      <c r="B23" s="1066"/>
      <c r="C23" s="1060"/>
      <c r="D23" s="1060"/>
      <c r="E23" s="646"/>
      <c r="F23" s="1067"/>
      <c r="G23" s="1062"/>
      <c r="H23" s="1065"/>
      <c r="I23" s="353"/>
      <c r="J23" s="672"/>
      <c r="L23" s="365">
        <f t="shared" si="0"/>
        <v>0</v>
      </c>
      <c r="M23" s="1287"/>
      <c r="O23" s="374"/>
      <c r="P23" s="374"/>
      <c r="Q23" s="374"/>
      <c r="R23" s="374"/>
      <c r="S23" s="374"/>
    </row>
    <row r="24" spans="2:19" s="520" customFormat="1" ht="21" customHeight="1" x14ac:dyDescent="0.25">
      <c r="B24" s="1757" t="s">
        <v>717</v>
      </c>
      <c r="C24" s="1758"/>
      <c r="D24" s="1758"/>
      <c r="E24" s="1758"/>
      <c r="F24" s="1061">
        <f>SUM(F25)+F28+F31</f>
        <v>5446046.7800000003</v>
      </c>
      <c r="G24" s="1410"/>
      <c r="H24" s="1292"/>
      <c r="I24" s="365"/>
      <c r="J24" s="337">
        <v>63537017</v>
      </c>
      <c r="L24" s="365"/>
      <c r="M24" s="1363"/>
      <c r="O24" s="524"/>
      <c r="P24" s="524"/>
      <c r="Q24" s="524"/>
      <c r="R24" s="524"/>
      <c r="S24" s="524"/>
    </row>
    <row r="25" spans="2:19" s="370" customFormat="1" ht="21" customHeight="1" x14ac:dyDescent="0.25">
      <c r="B25" s="1411" t="s">
        <v>505</v>
      </c>
      <c r="C25" s="1412"/>
      <c r="D25" s="1412"/>
      <c r="E25" s="1412"/>
      <c r="F25" s="1341">
        <f>SUM(F26:F27)</f>
        <v>667076.34</v>
      </c>
      <c r="G25" s="1413"/>
      <c r="H25" s="1292"/>
      <c r="I25" s="365"/>
      <c r="J25" s="337">
        <v>34301726</v>
      </c>
      <c r="L25" s="365"/>
      <c r="M25" s="1287"/>
      <c r="O25" s="374"/>
      <c r="P25" s="374"/>
      <c r="Q25" s="374"/>
      <c r="R25" s="374"/>
      <c r="S25" s="374"/>
    </row>
    <row r="26" spans="2:19" s="365" customFormat="1" ht="21" customHeight="1" x14ac:dyDescent="0.25">
      <c r="B26" s="1045">
        <v>110000083056</v>
      </c>
      <c r="C26" s="872">
        <v>44831</v>
      </c>
      <c r="D26" s="879">
        <v>45103</v>
      </c>
      <c r="E26" s="880" t="s">
        <v>716</v>
      </c>
      <c r="F26" s="873">
        <v>573969.68000000005</v>
      </c>
      <c r="G26" s="649">
        <v>2.65</v>
      </c>
      <c r="H26" s="1039" t="s">
        <v>375</v>
      </c>
      <c r="J26" s="365">
        <v>4322873</v>
      </c>
      <c r="L26" s="365">
        <f t="shared" si="0"/>
        <v>15210</v>
      </c>
      <c r="M26" s="1367"/>
      <c r="O26" s="353"/>
      <c r="P26" s="353"/>
      <c r="Q26" s="353"/>
      <c r="R26" s="353"/>
      <c r="S26" s="353"/>
    </row>
    <row r="27" spans="2:19" s="365" customFormat="1" ht="21" customHeight="1" x14ac:dyDescent="0.25">
      <c r="B27" s="1045">
        <v>110000083047</v>
      </c>
      <c r="C27" s="872">
        <v>44831</v>
      </c>
      <c r="D27" s="879">
        <v>45103</v>
      </c>
      <c r="E27" s="880" t="s">
        <v>716</v>
      </c>
      <c r="F27" s="873">
        <v>93106.66</v>
      </c>
      <c r="G27" s="649">
        <v>2.65</v>
      </c>
      <c r="H27" s="1039" t="s">
        <v>375</v>
      </c>
      <c r="J27" s="365">
        <v>90298671</v>
      </c>
      <c r="L27" s="365">
        <f t="shared" si="0"/>
        <v>2467</v>
      </c>
      <c r="M27" s="1367"/>
      <c r="O27" s="353"/>
      <c r="P27" s="353"/>
      <c r="Q27" s="353"/>
      <c r="R27" s="353"/>
      <c r="S27" s="353"/>
    </row>
    <row r="28" spans="2:19" s="370" customFormat="1" ht="21" customHeight="1" x14ac:dyDescent="0.25">
      <c r="B28" s="1414" t="s">
        <v>506</v>
      </c>
      <c r="C28" s="1415"/>
      <c r="D28" s="1415"/>
      <c r="E28" s="1415"/>
      <c r="F28" s="1234">
        <f>SUM(F29:F30)</f>
        <v>4756394.09</v>
      </c>
      <c r="G28" s="1416"/>
      <c r="H28" s="1292"/>
      <c r="I28" s="365"/>
      <c r="J28" s="337">
        <v>315671904</v>
      </c>
      <c r="L28" s="365"/>
      <c r="M28" s="1287"/>
      <c r="O28" s="374"/>
      <c r="P28" s="374"/>
      <c r="Q28" s="374"/>
      <c r="R28" s="374"/>
      <c r="S28" s="374"/>
    </row>
    <row r="29" spans="2:19" s="365" customFormat="1" ht="21" customHeight="1" x14ac:dyDescent="0.25">
      <c r="B29" s="1045">
        <v>110000083074</v>
      </c>
      <c r="C29" s="872">
        <v>44831</v>
      </c>
      <c r="D29" s="879">
        <v>45103</v>
      </c>
      <c r="E29" s="880" t="s">
        <v>716</v>
      </c>
      <c r="F29" s="873">
        <v>3119609.91</v>
      </c>
      <c r="G29" s="649">
        <v>2.65</v>
      </c>
      <c r="H29" s="1039" t="s">
        <v>375</v>
      </c>
      <c r="J29" s="365">
        <v>449001721</v>
      </c>
      <c r="L29" s="365">
        <f t="shared" si="0"/>
        <v>82670</v>
      </c>
      <c r="M29" s="1367"/>
      <c r="O29" s="353"/>
      <c r="P29" s="353"/>
      <c r="Q29" s="353"/>
      <c r="R29" s="353"/>
      <c r="S29" s="353"/>
    </row>
    <row r="30" spans="2:19" s="365" customFormat="1" ht="21" customHeight="1" x14ac:dyDescent="0.25">
      <c r="B30" s="1045">
        <v>110000083065</v>
      </c>
      <c r="C30" s="872">
        <v>44831</v>
      </c>
      <c r="D30" s="879">
        <v>45103</v>
      </c>
      <c r="E30" s="880" t="s">
        <v>716</v>
      </c>
      <c r="F30" s="873">
        <v>1636784.18</v>
      </c>
      <c r="G30" s="649">
        <v>2.65</v>
      </c>
      <c r="H30" s="1039" t="s">
        <v>375</v>
      </c>
      <c r="J30" s="365">
        <v>611851593</v>
      </c>
      <c r="L30" s="365">
        <f t="shared" si="0"/>
        <v>43375</v>
      </c>
      <c r="M30" s="1367"/>
      <c r="O30" s="353"/>
      <c r="P30" s="353"/>
      <c r="Q30" s="353"/>
      <c r="R30" s="353"/>
      <c r="S30" s="353"/>
    </row>
    <row r="31" spans="2:19" s="370" customFormat="1" ht="21" customHeight="1" x14ac:dyDescent="0.25">
      <c r="B31" s="1414" t="s">
        <v>507</v>
      </c>
      <c r="C31" s="1415"/>
      <c r="D31" s="1415"/>
      <c r="E31" s="1415"/>
      <c r="F31" s="1234">
        <f>SUM(F32:F32)</f>
        <v>22576.35</v>
      </c>
      <c r="G31" s="1416"/>
      <c r="H31" s="1292"/>
      <c r="I31" s="365"/>
      <c r="J31" s="337">
        <v>24649668</v>
      </c>
      <c r="L31" s="365"/>
      <c r="M31" s="1287"/>
      <c r="O31" s="374"/>
      <c r="P31" s="374"/>
      <c r="Q31" s="374"/>
      <c r="R31" s="374"/>
      <c r="S31" s="374"/>
    </row>
    <row r="32" spans="2:19" s="365" customFormat="1" ht="21" customHeight="1" x14ac:dyDescent="0.25">
      <c r="B32" s="644">
        <v>110000083083</v>
      </c>
      <c r="C32" s="872">
        <v>44831</v>
      </c>
      <c r="D32" s="879">
        <v>45103</v>
      </c>
      <c r="E32" s="880" t="s">
        <v>716</v>
      </c>
      <c r="F32" s="873">
        <v>22576.35</v>
      </c>
      <c r="G32" s="649">
        <v>2.65</v>
      </c>
      <c r="H32" s="1039" t="s">
        <v>375</v>
      </c>
      <c r="J32" s="365">
        <f>SUM(J24:J31)</f>
        <v>1593635173</v>
      </c>
      <c r="L32" s="365">
        <f t="shared" si="0"/>
        <v>598</v>
      </c>
      <c r="M32" s="1367"/>
      <c r="O32" s="353"/>
      <c r="P32" s="353"/>
      <c r="Q32" s="353"/>
      <c r="R32" s="353"/>
      <c r="S32" s="353"/>
    </row>
    <row r="33" spans="2:19" s="365" customFormat="1" ht="21" customHeight="1" x14ac:dyDescent="0.25">
      <c r="B33" s="1757" t="s">
        <v>718</v>
      </c>
      <c r="C33" s="1758"/>
      <c r="D33" s="1758"/>
      <c r="E33" s="1758"/>
      <c r="F33" s="1417">
        <f>SUM(F34)+F41+F47+F53</f>
        <v>17858189.77</v>
      </c>
      <c r="G33" s="1418"/>
      <c r="H33" s="1292"/>
      <c r="M33" s="1367"/>
      <c r="O33" s="353"/>
      <c r="P33" s="353"/>
      <c r="Q33" s="353"/>
      <c r="R33" s="353"/>
      <c r="S33" s="353"/>
    </row>
    <row r="34" spans="2:19" s="370" customFormat="1" ht="21" customHeight="1" x14ac:dyDescent="0.25">
      <c r="B34" s="1419" t="s">
        <v>509</v>
      </c>
      <c r="C34" s="1420"/>
      <c r="D34" s="1421"/>
      <c r="E34" s="1422"/>
      <c r="F34" s="1423">
        <f>SUM(F35)</f>
        <v>5098154.68</v>
      </c>
      <c r="G34" s="649"/>
      <c r="H34" s="1292"/>
      <c r="I34" s="365"/>
      <c r="J34" s="671"/>
      <c r="L34" s="365"/>
      <c r="M34" s="1287"/>
      <c r="O34" s="374"/>
      <c r="P34" s="374"/>
      <c r="Q34" s="374"/>
      <c r="R34" s="374"/>
      <c r="S34" s="374"/>
    </row>
    <row r="35" spans="2:19" s="370" customFormat="1" ht="21" hidden="1" customHeight="1" x14ac:dyDescent="0.25">
      <c r="B35" s="1424" t="s">
        <v>372</v>
      </c>
      <c r="C35" s="1420"/>
      <c r="D35" s="1421"/>
      <c r="E35" s="1422"/>
      <c r="F35" s="1423">
        <f>SUM(F36:F40)</f>
        <v>5098154.68</v>
      </c>
      <c r="G35" s="649"/>
      <c r="H35" s="1292"/>
      <c r="I35" s="365"/>
      <c r="J35" s="671"/>
      <c r="L35" s="365">
        <f t="shared" si="0"/>
        <v>0</v>
      </c>
      <c r="M35" s="1287"/>
      <c r="O35" s="374"/>
      <c r="P35" s="374"/>
      <c r="Q35" s="374"/>
      <c r="R35" s="374"/>
      <c r="S35" s="374"/>
    </row>
    <row r="36" spans="2:19" s="365" customFormat="1" ht="21" customHeight="1" x14ac:dyDescent="0.25">
      <c r="B36" s="1045">
        <v>110000083092</v>
      </c>
      <c r="C36" s="872">
        <v>44831</v>
      </c>
      <c r="D36" s="879">
        <v>45103</v>
      </c>
      <c r="E36" s="880" t="s">
        <v>716</v>
      </c>
      <c r="F36" s="881">
        <v>1064439.6299999999</v>
      </c>
      <c r="G36" s="808">
        <v>2.65</v>
      </c>
      <c r="H36" s="1039" t="s">
        <v>375</v>
      </c>
      <c r="I36" s="1076" t="s">
        <v>581</v>
      </c>
      <c r="L36" s="365">
        <f t="shared" si="0"/>
        <v>28208</v>
      </c>
      <c r="M36" s="1367"/>
      <c r="O36" s="353"/>
      <c r="P36" s="353"/>
      <c r="Q36" s="353"/>
      <c r="R36" s="353"/>
      <c r="S36" s="353"/>
    </row>
    <row r="37" spans="2:19" s="365" customFormat="1" ht="21" customHeight="1" x14ac:dyDescent="0.25">
      <c r="B37" s="1045">
        <v>110000083109</v>
      </c>
      <c r="C37" s="871">
        <v>44831</v>
      </c>
      <c r="D37" s="879">
        <v>45103</v>
      </c>
      <c r="E37" s="880" t="s">
        <v>716</v>
      </c>
      <c r="F37" s="873">
        <v>3870391.05</v>
      </c>
      <c r="G37" s="649">
        <v>2.65</v>
      </c>
      <c r="H37" s="1039" t="s">
        <v>375</v>
      </c>
      <c r="L37" s="365">
        <f t="shared" si="0"/>
        <v>102565</v>
      </c>
      <c r="M37" s="1367"/>
      <c r="O37" s="353"/>
      <c r="P37" s="353"/>
      <c r="Q37" s="353"/>
      <c r="R37" s="353"/>
      <c r="S37" s="353"/>
    </row>
    <row r="38" spans="2:19" s="365" customFormat="1" ht="21" customHeight="1" x14ac:dyDescent="0.25">
      <c r="B38" s="1045">
        <v>110000083412</v>
      </c>
      <c r="C38" s="871">
        <v>44851</v>
      </c>
      <c r="D38" s="871">
        <v>45121</v>
      </c>
      <c r="E38" s="880" t="s">
        <v>716</v>
      </c>
      <c r="F38" s="873">
        <v>16938.240000000002</v>
      </c>
      <c r="G38" s="808">
        <v>2.65</v>
      </c>
      <c r="H38" s="1045"/>
      <c r="L38" s="365">
        <f t="shared" si="0"/>
        <v>449</v>
      </c>
      <c r="M38" s="1367"/>
      <c r="O38" s="353"/>
      <c r="P38" s="353"/>
      <c r="Q38" s="353"/>
      <c r="R38" s="353"/>
      <c r="S38" s="353"/>
    </row>
    <row r="39" spans="2:19" s="365" customFormat="1" ht="21" customHeight="1" x14ac:dyDescent="0.25">
      <c r="B39" s="1045">
        <v>110000083403</v>
      </c>
      <c r="C39" s="871">
        <v>44851</v>
      </c>
      <c r="D39" s="871">
        <v>45121</v>
      </c>
      <c r="E39" s="880" t="s">
        <v>716</v>
      </c>
      <c r="F39" s="873">
        <v>58944.24</v>
      </c>
      <c r="G39" s="649">
        <v>2.65</v>
      </c>
      <c r="H39" s="1045"/>
      <c r="L39" s="365">
        <f t="shared" si="0"/>
        <v>1562</v>
      </c>
      <c r="M39" s="1367"/>
      <c r="O39" s="353"/>
      <c r="P39" s="353"/>
      <c r="Q39" s="353"/>
      <c r="R39" s="353"/>
      <c r="S39" s="353"/>
    </row>
    <row r="40" spans="2:19" s="365" customFormat="1" ht="21" customHeight="1" x14ac:dyDescent="0.25">
      <c r="B40" s="1337">
        <v>110000084616</v>
      </c>
      <c r="C40" s="880">
        <v>44963</v>
      </c>
      <c r="D40" s="879">
        <v>45328</v>
      </c>
      <c r="E40" s="880" t="s">
        <v>650</v>
      </c>
      <c r="F40" s="881">
        <v>87441.52</v>
      </c>
      <c r="G40" s="1425">
        <v>4.75</v>
      </c>
      <c r="H40" s="1045"/>
      <c r="L40" s="365">
        <f t="shared" si="0"/>
        <v>4153</v>
      </c>
      <c r="M40" s="1367"/>
      <c r="O40" s="353"/>
      <c r="P40" s="353"/>
      <c r="Q40" s="353"/>
      <c r="R40" s="353"/>
      <c r="S40" s="353"/>
    </row>
    <row r="41" spans="2:19" s="370" customFormat="1" ht="21" customHeight="1" x14ac:dyDescent="0.25">
      <c r="B41" s="1748" t="s">
        <v>511</v>
      </c>
      <c r="C41" s="1749"/>
      <c r="D41" s="1749"/>
      <c r="E41" s="1749"/>
      <c r="F41" s="1426">
        <f>SUM(F42)</f>
        <v>10578175.58</v>
      </c>
      <c r="G41" s="1416"/>
      <c r="H41" s="1292"/>
      <c r="I41" s="619"/>
      <c r="J41" s="337"/>
      <c r="L41" s="365"/>
      <c r="M41" s="1287"/>
      <c r="O41" s="374"/>
      <c r="P41" s="374"/>
      <c r="Q41" s="374"/>
      <c r="R41" s="374"/>
      <c r="S41" s="374"/>
    </row>
    <row r="42" spans="2:19" s="370" customFormat="1" ht="21" hidden="1" customHeight="1" x14ac:dyDescent="0.25">
      <c r="B42" s="1424" t="s">
        <v>372</v>
      </c>
      <c r="C42" s="1420"/>
      <c r="D42" s="1421"/>
      <c r="E42" s="1422"/>
      <c r="F42" s="1423">
        <f>SUM(F43:F46)</f>
        <v>10578175.58</v>
      </c>
      <c r="G42" s="649"/>
      <c r="H42" s="1292"/>
      <c r="I42" s="365"/>
      <c r="J42" s="671"/>
      <c r="L42" s="365">
        <f t="shared" si="0"/>
        <v>0</v>
      </c>
      <c r="M42" s="1287"/>
      <c r="O42" s="374"/>
      <c r="P42" s="374"/>
      <c r="Q42" s="374"/>
      <c r="R42" s="374"/>
      <c r="S42" s="374"/>
    </row>
    <row r="43" spans="2:19" s="365" customFormat="1" ht="21" customHeight="1" x14ac:dyDescent="0.25">
      <c r="B43" s="1045">
        <v>110000083118</v>
      </c>
      <c r="C43" s="646">
        <v>44831</v>
      </c>
      <c r="D43" s="879">
        <v>45103</v>
      </c>
      <c r="E43" s="880" t="s">
        <v>716</v>
      </c>
      <c r="F43" s="648">
        <v>8261248.6799999997</v>
      </c>
      <c r="G43" s="649">
        <v>2.65</v>
      </c>
      <c r="H43" s="1039" t="s">
        <v>375</v>
      </c>
      <c r="L43" s="365">
        <f t="shared" si="0"/>
        <v>218923</v>
      </c>
      <c r="M43" s="1367"/>
      <c r="O43" s="353"/>
      <c r="P43" s="353"/>
      <c r="Q43" s="353"/>
      <c r="R43" s="353"/>
      <c r="S43" s="353"/>
    </row>
    <row r="44" spans="2:19" s="365" customFormat="1" ht="21" customHeight="1" x14ac:dyDescent="0.25">
      <c r="B44" s="1045">
        <v>110000083127</v>
      </c>
      <c r="C44" s="646">
        <v>44831</v>
      </c>
      <c r="D44" s="879">
        <v>45103</v>
      </c>
      <c r="E44" s="880" t="s">
        <v>716</v>
      </c>
      <c r="F44" s="648">
        <v>1858681.25</v>
      </c>
      <c r="G44" s="649">
        <v>2.65</v>
      </c>
      <c r="H44" s="1039" t="s">
        <v>375</v>
      </c>
      <c r="L44" s="365">
        <f t="shared" si="0"/>
        <v>49255</v>
      </c>
      <c r="M44" s="1367"/>
      <c r="O44" s="353"/>
      <c r="P44" s="353"/>
      <c r="Q44" s="353"/>
      <c r="R44" s="353"/>
      <c r="S44" s="353"/>
    </row>
    <row r="45" spans="2:19" s="365" customFormat="1" ht="21" customHeight="1" x14ac:dyDescent="0.25">
      <c r="B45" s="1045">
        <v>110000083136</v>
      </c>
      <c r="C45" s="646">
        <v>44831</v>
      </c>
      <c r="D45" s="879">
        <v>45103</v>
      </c>
      <c r="E45" s="880" t="s">
        <v>716</v>
      </c>
      <c r="F45" s="648">
        <v>217212.78</v>
      </c>
      <c r="G45" s="649">
        <v>2.65</v>
      </c>
      <c r="H45" s="1039"/>
      <c r="L45" s="365">
        <f t="shared" si="0"/>
        <v>5756</v>
      </c>
      <c r="M45" s="1367"/>
      <c r="O45" s="353"/>
      <c r="P45" s="353"/>
      <c r="Q45" s="353"/>
      <c r="R45" s="353"/>
      <c r="S45" s="353"/>
    </row>
    <row r="46" spans="2:19" s="365" customFormat="1" ht="21" customHeight="1" x14ac:dyDescent="0.25">
      <c r="B46" s="1045">
        <v>110000084625</v>
      </c>
      <c r="C46" s="880">
        <v>44963</v>
      </c>
      <c r="D46" s="879">
        <v>45328</v>
      </c>
      <c r="E46" s="880" t="s">
        <v>650</v>
      </c>
      <c r="F46" s="881">
        <v>241032.87</v>
      </c>
      <c r="G46" s="1425">
        <v>4.75</v>
      </c>
      <c r="H46" s="1039" t="s">
        <v>375</v>
      </c>
      <c r="L46" s="365">
        <f t="shared" si="0"/>
        <v>11449</v>
      </c>
      <c r="M46" s="1367"/>
      <c r="O46" s="353"/>
      <c r="P46" s="353"/>
      <c r="Q46" s="353"/>
      <c r="R46" s="353"/>
      <c r="S46" s="353"/>
    </row>
    <row r="47" spans="2:19" s="365" customFormat="1" ht="25.5" customHeight="1" x14ac:dyDescent="0.25">
      <c r="B47" s="1748" t="s">
        <v>512</v>
      </c>
      <c r="C47" s="1749"/>
      <c r="D47" s="1749"/>
      <c r="E47" s="1749"/>
      <c r="F47" s="1426">
        <f>SUM(F48)</f>
        <v>895138.21</v>
      </c>
      <c r="G47" s="1427"/>
      <c r="H47" s="1292"/>
      <c r="J47" s="337"/>
      <c r="M47" s="1367"/>
      <c r="O47" s="353"/>
      <c r="P47" s="353"/>
      <c r="Q47" s="353"/>
      <c r="R47" s="353"/>
      <c r="S47" s="353"/>
    </row>
    <row r="48" spans="2:19" s="370" customFormat="1" ht="21" hidden="1" customHeight="1" x14ac:dyDescent="0.25">
      <c r="B48" s="1424" t="s">
        <v>372</v>
      </c>
      <c r="C48" s="1420"/>
      <c r="D48" s="1421"/>
      <c r="E48" s="1422"/>
      <c r="F48" s="1423">
        <f>SUM(F49:F52)</f>
        <v>895138.21</v>
      </c>
      <c r="G48" s="649"/>
      <c r="H48" s="1292"/>
      <c r="I48" s="365"/>
      <c r="J48" s="671"/>
      <c r="L48" s="365">
        <f t="shared" si="0"/>
        <v>0</v>
      </c>
      <c r="M48" s="1287"/>
      <c r="O48" s="374"/>
      <c r="P48" s="374"/>
      <c r="Q48" s="374"/>
      <c r="R48" s="374"/>
      <c r="S48" s="374"/>
    </row>
    <row r="49" spans="1:19" s="365" customFormat="1" ht="21" customHeight="1" x14ac:dyDescent="0.25">
      <c r="A49" s="519"/>
      <c r="B49" s="1045">
        <v>110000083145</v>
      </c>
      <c r="C49" s="872">
        <v>44831</v>
      </c>
      <c r="D49" s="879">
        <v>45103</v>
      </c>
      <c r="E49" s="880" t="s">
        <v>716</v>
      </c>
      <c r="F49" s="873">
        <v>323171.62</v>
      </c>
      <c r="G49" s="649">
        <v>2.65</v>
      </c>
      <c r="H49" s="1039" t="s">
        <v>375</v>
      </c>
      <c r="L49" s="365">
        <f t="shared" si="0"/>
        <v>8564</v>
      </c>
      <c r="M49" s="1367"/>
      <c r="O49" s="353"/>
      <c r="P49" s="353"/>
      <c r="Q49" s="353"/>
      <c r="R49" s="353"/>
      <c r="S49" s="353"/>
    </row>
    <row r="50" spans="1:19" s="365" customFormat="1" ht="21" customHeight="1" x14ac:dyDescent="0.25">
      <c r="A50" s="519"/>
      <c r="B50" s="1045">
        <v>110000083154</v>
      </c>
      <c r="C50" s="871">
        <v>44831</v>
      </c>
      <c r="D50" s="879">
        <v>45103</v>
      </c>
      <c r="E50" s="880" t="s">
        <v>716</v>
      </c>
      <c r="F50" s="873">
        <v>538945.37</v>
      </c>
      <c r="G50" s="649">
        <v>2.65</v>
      </c>
      <c r="H50" s="1039" t="s">
        <v>375</v>
      </c>
      <c r="L50" s="365">
        <f t="shared" si="0"/>
        <v>14282</v>
      </c>
      <c r="M50" s="1367"/>
      <c r="O50" s="353"/>
      <c r="P50" s="353"/>
      <c r="Q50" s="353"/>
      <c r="R50" s="353"/>
      <c r="S50" s="353"/>
    </row>
    <row r="51" spans="1:19" s="365" customFormat="1" ht="21" customHeight="1" x14ac:dyDescent="0.25">
      <c r="A51" s="519"/>
      <c r="B51" s="1045">
        <v>110000083421</v>
      </c>
      <c r="C51" s="871">
        <v>44851</v>
      </c>
      <c r="D51" s="879">
        <v>45121</v>
      </c>
      <c r="E51" s="880" t="s">
        <v>716</v>
      </c>
      <c r="F51" s="873">
        <v>25270.11</v>
      </c>
      <c r="G51" s="649">
        <v>2.65</v>
      </c>
      <c r="H51" s="1039"/>
      <c r="L51" s="365">
        <f t="shared" si="0"/>
        <v>670</v>
      </c>
      <c r="M51" s="1367"/>
      <c r="O51" s="353"/>
      <c r="P51" s="353"/>
      <c r="Q51" s="353"/>
      <c r="R51" s="353"/>
      <c r="S51" s="353"/>
    </row>
    <row r="52" spans="1:19" s="365" customFormat="1" ht="21" customHeight="1" x14ac:dyDescent="0.25">
      <c r="A52" s="519"/>
      <c r="B52" s="1045">
        <v>110000084616</v>
      </c>
      <c r="C52" s="871">
        <v>44963</v>
      </c>
      <c r="D52" s="871">
        <v>45328</v>
      </c>
      <c r="E52" s="880" t="s">
        <v>650</v>
      </c>
      <c r="F52" s="873">
        <v>7751.11</v>
      </c>
      <c r="G52" s="649">
        <v>4.75</v>
      </c>
      <c r="H52" s="1039" t="s">
        <v>375</v>
      </c>
      <c r="L52" s="365">
        <f t="shared" si="0"/>
        <v>368</v>
      </c>
      <c r="M52" s="1367"/>
      <c r="O52" s="353"/>
      <c r="P52" s="353"/>
      <c r="Q52" s="353"/>
      <c r="R52" s="353"/>
      <c r="S52" s="353"/>
    </row>
    <row r="53" spans="1:19" s="370" customFormat="1" ht="24" customHeight="1" x14ac:dyDescent="0.25">
      <c r="A53" s="365"/>
      <c r="B53" s="1428" t="s">
        <v>513</v>
      </c>
      <c r="C53" s="1233"/>
      <c r="D53" s="1233"/>
      <c r="E53" s="1429"/>
      <c r="F53" s="1234">
        <f>SUM(F55:F56)</f>
        <v>1286721.3</v>
      </c>
      <c r="G53" s="1280"/>
      <c r="H53" s="1292"/>
      <c r="I53" s="365"/>
      <c r="J53" s="413"/>
      <c r="K53" s="374"/>
      <c r="L53" s="365"/>
      <c r="M53" s="1287"/>
      <c r="O53" s="374"/>
      <c r="P53" s="374"/>
      <c r="Q53" s="374"/>
      <c r="R53" s="374"/>
      <c r="S53" s="374"/>
    </row>
    <row r="54" spans="1:19" s="370" customFormat="1" ht="21" hidden="1" customHeight="1" x14ac:dyDescent="0.25">
      <c r="B54" s="1419" t="s">
        <v>372</v>
      </c>
      <c r="C54" s="1430"/>
      <c r="D54" s="1430"/>
      <c r="E54" s="1429"/>
      <c r="F54" s="1234">
        <f>SUM(F55:F56)</f>
        <v>1286721.3</v>
      </c>
      <c r="G54" s="1416"/>
      <c r="H54" s="1292"/>
      <c r="I54" s="365"/>
      <c r="J54" s="671"/>
      <c r="L54" s="365">
        <f t="shared" si="0"/>
        <v>0</v>
      </c>
      <c r="M54" s="1287"/>
      <c r="O54" s="374"/>
      <c r="P54" s="374"/>
      <c r="Q54" s="374"/>
      <c r="R54" s="374"/>
      <c r="S54" s="374"/>
    </row>
    <row r="55" spans="1:19" s="370" customFormat="1" ht="24" customHeight="1" x14ac:dyDescent="0.25">
      <c r="A55" s="365"/>
      <c r="B55" s="644">
        <v>110000083163</v>
      </c>
      <c r="C55" s="871">
        <v>44831</v>
      </c>
      <c r="D55" s="871">
        <v>45103</v>
      </c>
      <c r="E55" s="880" t="s">
        <v>716</v>
      </c>
      <c r="F55" s="873">
        <v>1280495</v>
      </c>
      <c r="G55" s="649">
        <v>2.65</v>
      </c>
      <c r="H55" s="1039" t="s">
        <v>375</v>
      </c>
      <c r="I55" s="365"/>
      <c r="J55" s="413"/>
      <c r="K55" s="374"/>
      <c r="L55" s="365">
        <f t="shared" si="0"/>
        <v>33933</v>
      </c>
      <c r="M55" s="1287"/>
      <c r="O55" s="374"/>
      <c r="P55" s="374"/>
      <c r="Q55" s="374"/>
      <c r="R55" s="374"/>
      <c r="S55" s="374"/>
    </row>
    <row r="56" spans="1:19" s="370" customFormat="1" ht="24" customHeight="1" x14ac:dyDescent="0.25">
      <c r="A56" s="365"/>
      <c r="B56" s="644">
        <v>110000083412</v>
      </c>
      <c r="C56" s="871">
        <v>44851</v>
      </c>
      <c r="D56" s="871">
        <v>45121</v>
      </c>
      <c r="E56" s="880" t="s">
        <v>716</v>
      </c>
      <c r="F56" s="873">
        <v>6226.3</v>
      </c>
      <c r="G56" s="649">
        <v>2.65</v>
      </c>
      <c r="H56" s="1039"/>
      <c r="I56" s="365"/>
      <c r="J56" s="413"/>
      <c r="K56" s="374"/>
      <c r="L56" s="365">
        <f t="shared" si="0"/>
        <v>165</v>
      </c>
      <c r="M56" s="1287"/>
      <c r="O56" s="374"/>
      <c r="P56" s="374"/>
      <c r="Q56" s="374"/>
      <c r="R56" s="374"/>
      <c r="S56" s="374"/>
    </row>
    <row r="57" spans="1:19" s="370" customFormat="1" ht="24" customHeight="1" x14ac:dyDescent="0.25">
      <c r="A57" s="365"/>
      <c r="B57" s="1431"/>
      <c r="C57" s="1432"/>
      <c r="D57" s="1432"/>
      <c r="E57" s="814"/>
      <c r="F57" s="1433">
        <f>F58+F59+F60+F61+F62+F63</f>
        <v>90546512.239999995</v>
      </c>
      <c r="G57" s="1427"/>
      <c r="H57" s="1434"/>
      <c r="I57" s="365"/>
      <c r="J57" s="413"/>
      <c r="K57" s="374"/>
      <c r="L57" s="365"/>
      <c r="M57" s="1287"/>
      <c r="O57" s="374"/>
      <c r="P57" s="374"/>
      <c r="Q57" s="374"/>
      <c r="R57" s="374"/>
      <c r="S57" s="374"/>
    </row>
    <row r="58" spans="1:19" s="370" customFormat="1" ht="24" customHeight="1" x14ac:dyDescent="0.25">
      <c r="A58" s="365"/>
      <c r="B58" s="1435">
        <v>150000139102</v>
      </c>
      <c r="C58" s="1394" t="s">
        <v>673</v>
      </c>
      <c r="D58" s="1394">
        <v>45019</v>
      </c>
      <c r="E58" s="1394" t="s">
        <v>674</v>
      </c>
      <c r="F58" s="1436">
        <v>4054000</v>
      </c>
      <c r="G58" s="1437">
        <v>3</v>
      </c>
      <c r="H58" s="1434"/>
      <c r="I58" s="365"/>
      <c r="J58" s="413"/>
      <c r="K58" s="374"/>
      <c r="L58" s="365">
        <f t="shared" si="0"/>
        <v>121620</v>
      </c>
      <c r="M58" s="1287"/>
      <c r="O58" s="374"/>
      <c r="P58" s="374"/>
      <c r="Q58" s="374"/>
      <c r="R58" s="374"/>
      <c r="S58" s="374"/>
    </row>
    <row r="59" spans="1:19" s="370" customFormat="1" ht="24" customHeight="1" x14ac:dyDescent="0.25">
      <c r="A59" s="365"/>
      <c r="B59" s="806">
        <v>110000083216</v>
      </c>
      <c r="C59" s="872">
        <v>44831</v>
      </c>
      <c r="D59" s="872">
        <v>45103</v>
      </c>
      <c r="E59" s="872" t="s">
        <v>716</v>
      </c>
      <c r="F59" s="873">
        <v>5799100</v>
      </c>
      <c r="G59" s="1262">
        <v>2.65</v>
      </c>
      <c r="H59" s="1434"/>
      <c r="I59" s="365"/>
      <c r="J59" s="413"/>
      <c r="K59" s="374"/>
      <c r="L59" s="365">
        <f t="shared" si="0"/>
        <v>153676</v>
      </c>
      <c r="M59" s="1287"/>
      <c r="O59" s="374"/>
      <c r="P59" s="374"/>
      <c r="Q59" s="374"/>
      <c r="R59" s="374"/>
      <c r="S59" s="374"/>
    </row>
    <row r="60" spans="1:19" s="370" customFormat="1" ht="24" customHeight="1" x14ac:dyDescent="0.25">
      <c r="A60" s="365"/>
      <c r="B60" s="806">
        <v>110000083225</v>
      </c>
      <c r="C60" s="880">
        <v>44831</v>
      </c>
      <c r="D60" s="880">
        <v>45103</v>
      </c>
      <c r="E60" s="880" t="s">
        <v>716</v>
      </c>
      <c r="F60" s="873">
        <v>57993412.240000002</v>
      </c>
      <c r="G60" s="1262">
        <v>2.65</v>
      </c>
      <c r="H60" s="1434"/>
      <c r="I60" s="365"/>
      <c r="J60" s="413"/>
      <c r="K60" s="374"/>
      <c r="L60" s="365">
        <f t="shared" si="0"/>
        <v>1536825</v>
      </c>
      <c r="M60" s="1287"/>
      <c r="O60" s="374"/>
      <c r="P60" s="374"/>
      <c r="Q60" s="374"/>
      <c r="R60" s="374"/>
      <c r="S60" s="374"/>
    </row>
    <row r="61" spans="1:19" s="370" customFormat="1" ht="24" customHeight="1" x14ac:dyDescent="0.25">
      <c r="A61" s="365"/>
      <c r="B61" s="1213">
        <v>110000083566</v>
      </c>
      <c r="C61" s="872">
        <v>44860</v>
      </c>
      <c r="D61" s="872">
        <v>45131</v>
      </c>
      <c r="E61" s="880" t="s">
        <v>716</v>
      </c>
      <c r="F61" s="873">
        <v>16000000</v>
      </c>
      <c r="G61" s="1262">
        <v>3.65</v>
      </c>
      <c r="H61" s="1434"/>
      <c r="I61" s="365"/>
      <c r="J61" s="413"/>
      <c r="K61" s="374"/>
      <c r="L61" s="365">
        <f t="shared" si="0"/>
        <v>584000</v>
      </c>
      <c r="M61" s="1287"/>
      <c r="O61" s="374"/>
      <c r="P61" s="374"/>
      <c r="Q61" s="374"/>
      <c r="R61" s="374"/>
      <c r="S61" s="374"/>
    </row>
    <row r="62" spans="1:19" s="370" customFormat="1" ht="24" customHeight="1" x14ac:dyDescent="0.25">
      <c r="A62" s="365"/>
      <c r="B62" s="1213">
        <v>110000083575</v>
      </c>
      <c r="C62" s="880">
        <v>44860</v>
      </c>
      <c r="D62" s="880">
        <v>45131</v>
      </c>
      <c r="E62" s="880" t="s">
        <v>716</v>
      </c>
      <c r="F62" s="873">
        <v>3200000</v>
      </c>
      <c r="G62" s="1262">
        <v>3.65</v>
      </c>
      <c r="H62" s="1434"/>
      <c r="I62" s="365"/>
      <c r="J62" s="413"/>
      <c r="K62" s="374"/>
      <c r="L62" s="365">
        <f t="shared" si="0"/>
        <v>116800</v>
      </c>
      <c r="M62" s="1287"/>
      <c r="O62" s="374"/>
      <c r="P62" s="374"/>
      <c r="Q62" s="374"/>
      <c r="R62" s="374"/>
      <c r="S62" s="374"/>
    </row>
    <row r="63" spans="1:19" s="370" customFormat="1" ht="24" customHeight="1" x14ac:dyDescent="0.25">
      <c r="A63" s="365"/>
      <c r="B63" s="1213">
        <v>110000083771</v>
      </c>
      <c r="C63" s="880">
        <v>44890</v>
      </c>
      <c r="D63" s="879">
        <v>45985</v>
      </c>
      <c r="E63" s="880" t="s">
        <v>477</v>
      </c>
      <c r="F63" s="881">
        <v>3500000</v>
      </c>
      <c r="G63" s="1214">
        <v>4.2</v>
      </c>
      <c r="H63" s="1434"/>
      <c r="I63" s="365"/>
      <c r="J63" s="413"/>
      <c r="K63" s="374"/>
      <c r="L63" s="365">
        <f t="shared" si="0"/>
        <v>147000</v>
      </c>
      <c r="M63" s="1287"/>
      <c r="N63" s="370">
        <f>F13+F14+F15+F16+F17+F18+F19+F26+F27+F29+F32+F36+F37+F38+F39+F40+F43+F44+F45+F46+F49+F50+F51+F52+F55+F56+F58+F59+F60+F61+F62+F63</f>
        <v>640654235</v>
      </c>
      <c r="O63" s="1438">
        <f>L64/N63</f>
        <v>2.7E-2</v>
      </c>
      <c r="P63" s="374"/>
      <c r="Q63" s="374"/>
      <c r="R63" s="374"/>
      <c r="S63" s="374"/>
    </row>
    <row r="64" spans="1:19" s="937" customFormat="1" ht="21" customHeight="1" x14ac:dyDescent="0.3">
      <c r="B64" s="1439" t="s">
        <v>514</v>
      </c>
      <c r="C64" s="1440"/>
      <c r="D64" s="1440"/>
      <c r="E64" s="1440"/>
      <c r="F64" s="1440"/>
      <c r="G64" s="1441"/>
      <c r="H64" s="1085"/>
      <c r="I64" s="943"/>
      <c r="J64" s="943"/>
      <c r="L64" s="937">
        <f>SUM(L13:L63)</f>
        <v>17312567</v>
      </c>
      <c r="M64" s="1302">
        <f>L64/(F12+F25+F28+F31+F34+F41+F47+F53+F57)</f>
        <v>2.6950000000000002E-2</v>
      </c>
      <c r="N64" s="1261">
        <f>L64/(F13+F14+F15+F16+F17+F18+F19+F26+F27+F29+F30+F32+F36+F37+F38+F39+F40+F43+F44+F45+F46+F49+F50+F51+F52+F55+F56+F58+F59+F60+F61+F62+F63)</f>
        <v>2.7E-2</v>
      </c>
      <c r="O64" s="944"/>
      <c r="P64" s="944"/>
      <c r="Q64" s="944"/>
      <c r="R64" s="944"/>
      <c r="S64" s="944"/>
    </row>
    <row r="65" spans="2:19" s="937" customFormat="1" ht="21" customHeight="1" x14ac:dyDescent="0.3">
      <c r="B65" s="1442" t="str">
        <f>'[11]RESUMEN '!B45:K45</f>
        <v>29/03/2023</v>
      </c>
      <c r="C65" s="1443"/>
      <c r="D65" s="1443"/>
      <c r="E65" s="1443"/>
      <c r="F65" s="1443"/>
      <c r="G65" s="1444"/>
      <c r="H65" s="985"/>
      <c r="I65" s="839"/>
      <c r="J65" s="891"/>
      <c r="M65" s="1302"/>
      <c r="O65" s="944"/>
      <c r="P65" s="944"/>
      <c r="Q65" s="944"/>
      <c r="R65" s="944"/>
      <c r="S65" s="944"/>
    </row>
    <row r="66" spans="2:19" s="937" customFormat="1" ht="21" customHeight="1" x14ac:dyDescent="0.3">
      <c r="B66" s="1750" t="s">
        <v>719</v>
      </c>
      <c r="C66" s="1751"/>
      <c r="E66" s="839" t="s">
        <v>720</v>
      </c>
      <c r="F66" s="937" t="s">
        <v>721</v>
      </c>
      <c r="G66" s="1306"/>
      <c r="H66" s="985"/>
      <c r="I66" s="839"/>
      <c r="J66" s="891"/>
      <c r="M66" s="1302"/>
      <c r="O66" s="944"/>
      <c r="P66" s="944"/>
      <c r="Q66" s="944"/>
      <c r="R66" s="944"/>
      <c r="S66" s="944"/>
    </row>
    <row r="67" spans="2:19" s="937" customFormat="1" ht="15.65" customHeight="1" x14ac:dyDescent="0.3">
      <c r="B67" s="1736" t="str">
        <f>'[11]VENC. '!B$207</f>
        <v>Julio C. Pérez</v>
      </c>
      <c r="C67" s="1734"/>
      <c r="D67" s="839"/>
      <c r="E67" s="839"/>
      <c r="F67" s="1734" t="s">
        <v>722</v>
      </c>
      <c r="G67" s="1735"/>
      <c r="H67" s="985"/>
      <c r="I67" s="839"/>
      <c r="J67" s="891"/>
      <c r="M67" s="1302"/>
      <c r="O67" s="944"/>
      <c r="P67" s="944"/>
      <c r="Q67" s="944"/>
      <c r="R67" s="944"/>
      <c r="S67" s="944"/>
    </row>
    <row r="68" spans="2:19" s="937" customFormat="1" ht="36.65" customHeight="1" thickBot="1" x14ac:dyDescent="0.35">
      <c r="B68" s="1752" t="str">
        <f>'[11]VENC. '!B$208</f>
        <v>Analista Financiero</v>
      </c>
      <c r="C68" s="1753"/>
      <c r="D68" s="1308"/>
      <c r="E68" s="1308"/>
      <c r="F68" s="1753" t="s">
        <v>723</v>
      </c>
      <c r="G68" s="1754"/>
      <c r="H68" s="985"/>
      <c r="I68" s="839"/>
      <c r="J68" s="891"/>
      <c r="M68" s="1302"/>
      <c r="O68" s="944"/>
      <c r="P68" s="944"/>
      <c r="Q68" s="944"/>
      <c r="R68" s="944"/>
      <c r="S68" s="944"/>
    </row>
    <row r="69" spans="2:19" ht="13.5" customHeight="1" x14ac:dyDescent="0.35">
      <c r="G69" s="365"/>
    </row>
    <row r="70" spans="2:19" ht="13.5" customHeight="1" x14ac:dyDescent="0.35">
      <c r="B70" s="1059" t="s">
        <v>401</v>
      </c>
      <c r="C70" s="1060"/>
      <c r="D70" s="1060"/>
      <c r="E70" s="646"/>
      <c r="F70" s="1061">
        <f>SUM(F71:F72)</f>
        <v>10087017</v>
      </c>
      <c r="G70" s="1062"/>
      <c r="H70" s="1065"/>
      <c r="I70" s="353"/>
      <c r="J70" s="672"/>
      <c r="K70" s="370"/>
      <c r="L70" s="365"/>
    </row>
    <row r="71" spans="2:19" ht="13.5" customHeight="1" x14ac:dyDescent="0.35">
      <c r="B71" s="1213" t="s">
        <v>654</v>
      </c>
      <c r="C71" s="880" t="s">
        <v>655</v>
      </c>
      <c r="D71" s="880">
        <v>45022</v>
      </c>
      <c r="E71" s="872" t="s">
        <v>469</v>
      </c>
      <c r="F71" s="881">
        <v>8000000</v>
      </c>
      <c r="G71" s="874">
        <v>3.85</v>
      </c>
      <c r="H71" s="1065"/>
      <c r="I71" s="353"/>
      <c r="J71" s="672"/>
      <c r="K71" s="370"/>
      <c r="L71" s="365">
        <f>F71*G72/100</f>
        <v>300000</v>
      </c>
    </row>
    <row r="72" spans="2:19" ht="13.5" customHeight="1" x14ac:dyDescent="0.35">
      <c r="B72" s="1213" t="s">
        <v>580</v>
      </c>
      <c r="C72" s="880">
        <v>44834</v>
      </c>
      <c r="D72" s="880">
        <v>45930</v>
      </c>
      <c r="E72" s="872" t="s">
        <v>477</v>
      </c>
      <c r="F72" s="881">
        <v>2087017</v>
      </c>
      <c r="G72" s="874">
        <v>3.75</v>
      </c>
      <c r="H72" s="1039" t="s">
        <v>375</v>
      </c>
      <c r="I72" s="353"/>
      <c r="J72" s="672"/>
      <c r="K72" s="370"/>
      <c r="L72" s="365">
        <f>F72*G72/100</f>
        <v>78263</v>
      </c>
    </row>
    <row r="73" spans="2:19" ht="13.5" customHeight="1" x14ac:dyDescent="0.35">
      <c r="L73" s="355">
        <f>SUM(L71:L72)</f>
        <v>378263</v>
      </c>
      <c r="M73" s="1378">
        <f>L73/F70</f>
        <v>3.7499999999999999E-2</v>
      </c>
    </row>
  </sheetData>
  <mergeCells count="25">
    <mergeCell ref="K1:O1"/>
    <mergeCell ref="B2:G2"/>
    <mergeCell ref="J2:O2"/>
    <mergeCell ref="B3:G3"/>
    <mergeCell ref="J3:J5"/>
    <mergeCell ref="B4:G4"/>
    <mergeCell ref="B5:G5"/>
    <mergeCell ref="B41:E41"/>
    <mergeCell ref="B6:B8"/>
    <mergeCell ref="C6:D7"/>
    <mergeCell ref="E6:E8"/>
    <mergeCell ref="F6:F7"/>
    <mergeCell ref="J6:O7"/>
    <mergeCell ref="J8:J9"/>
    <mergeCell ref="B10:E10"/>
    <mergeCell ref="B24:E24"/>
    <mergeCell ref="B33:E33"/>
    <mergeCell ref="G6:G8"/>
    <mergeCell ref="H6:H8"/>
    <mergeCell ref="B47:E47"/>
    <mergeCell ref="B66:C66"/>
    <mergeCell ref="B67:C67"/>
    <mergeCell ref="F67:G67"/>
    <mergeCell ref="B68:C68"/>
    <mergeCell ref="F68:G68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S124"/>
  <sheetViews>
    <sheetView topLeftCell="A94" workbookViewId="0">
      <selection activeCell="E13" sqref="E13"/>
    </sheetView>
  </sheetViews>
  <sheetFormatPr baseColWidth="10" defaultColWidth="12.7265625" defaultRowHeight="15.5" x14ac:dyDescent="0.35"/>
  <cols>
    <col min="1" max="1" width="7.7265625" style="355" customWidth="1"/>
    <col min="2" max="2" width="29.54296875" style="456" customWidth="1"/>
    <col min="3" max="3" width="17" style="456" customWidth="1"/>
    <col min="4" max="4" width="16.1796875" style="456" customWidth="1"/>
    <col min="5" max="5" width="13" style="456" customWidth="1"/>
    <col min="6" max="6" width="21" style="456" customWidth="1"/>
    <col min="7" max="7" width="17.81640625" style="457" customWidth="1"/>
    <col min="8" max="8" width="32.26953125" style="891" hidden="1" customWidth="1"/>
    <col min="9" max="9" width="34.1796875" style="358" hidden="1" customWidth="1"/>
    <col min="10" max="10" width="22.7265625" style="669" customWidth="1"/>
    <col min="11" max="11" width="16" style="355" customWidth="1"/>
    <col min="12" max="14" width="12.7265625" style="355"/>
    <col min="15" max="19" width="12.7265625" style="359"/>
    <col min="20" max="16384" width="12.7265625" style="355"/>
  </cols>
  <sheetData>
    <row r="1" spans="1:19" s="331" customFormat="1" ht="21.75" customHeight="1" x14ac:dyDescent="0.25">
      <c r="B1" s="546"/>
      <c r="C1" s="547"/>
      <c r="D1" s="547"/>
      <c r="E1" s="547"/>
      <c r="F1" s="547"/>
      <c r="G1" s="334" t="s">
        <v>432</v>
      </c>
      <c r="H1" s="833"/>
      <c r="I1" s="337"/>
      <c r="J1" s="338"/>
      <c r="K1" s="1654"/>
      <c r="L1" s="1654"/>
      <c r="M1" s="1654"/>
      <c r="N1" s="1654"/>
      <c r="O1" s="1654"/>
      <c r="P1" s="340"/>
      <c r="Q1" s="340"/>
      <c r="R1" s="340"/>
      <c r="S1" s="340"/>
    </row>
    <row r="2" spans="1:19" s="331" customFormat="1" ht="21.75" customHeight="1" x14ac:dyDescent="0.25">
      <c r="B2" s="1666" t="s">
        <v>0</v>
      </c>
      <c r="C2" s="1667"/>
      <c r="D2" s="1667"/>
      <c r="E2" s="1667"/>
      <c r="F2" s="1667"/>
      <c r="G2" s="1668"/>
      <c r="H2" s="833"/>
      <c r="I2" s="337"/>
      <c r="J2" s="338"/>
      <c r="K2" s="339"/>
      <c r="L2" s="339"/>
      <c r="M2" s="339"/>
      <c r="N2" s="339"/>
      <c r="O2" s="339"/>
      <c r="P2" s="340"/>
      <c r="Q2" s="340"/>
      <c r="R2" s="340"/>
      <c r="S2" s="340"/>
    </row>
    <row r="3" spans="1:19" s="341" customFormat="1" ht="17.149999999999999" customHeight="1" x14ac:dyDescent="0.25">
      <c r="B3" s="1669" t="s">
        <v>433</v>
      </c>
      <c r="C3" s="1670"/>
      <c r="D3" s="1670"/>
      <c r="E3" s="1670"/>
      <c r="F3" s="1670"/>
      <c r="G3" s="1671"/>
      <c r="H3" s="834"/>
      <c r="I3" s="345"/>
      <c r="J3" s="1658"/>
      <c r="K3" s="1658"/>
      <c r="L3" s="1658"/>
      <c r="M3" s="1658"/>
      <c r="N3" s="1658"/>
      <c r="O3" s="1658"/>
      <c r="P3" s="346"/>
      <c r="Q3" s="346"/>
      <c r="R3" s="346"/>
      <c r="S3" s="346"/>
    </row>
    <row r="4" spans="1:19" s="352" customFormat="1" ht="14.15" customHeight="1" x14ac:dyDescent="0.25">
      <c r="A4" s="347"/>
      <c r="B4" s="1669" t="s">
        <v>434</v>
      </c>
      <c r="C4" s="1670"/>
      <c r="D4" s="1670"/>
      <c r="E4" s="1670"/>
      <c r="F4" s="1670"/>
      <c r="G4" s="1671"/>
      <c r="H4" s="835"/>
      <c r="I4" s="350"/>
      <c r="J4" s="1662"/>
      <c r="K4" s="351"/>
      <c r="L4" s="351"/>
      <c r="M4" s="351"/>
      <c r="N4" s="351"/>
      <c r="O4" s="351"/>
      <c r="P4" s="346"/>
      <c r="Q4" s="346"/>
      <c r="R4" s="346"/>
      <c r="S4" s="347"/>
    </row>
    <row r="5" spans="1:19" s="352" customFormat="1" ht="21.75" customHeight="1" x14ac:dyDescent="0.25">
      <c r="A5" s="347"/>
      <c r="B5" s="1672" t="str">
        <f>'[12]VENC. '!$B$4</f>
        <v xml:space="preserve"> AL 31 DE MARZO DE 2023</v>
      </c>
      <c r="C5" s="1673"/>
      <c r="D5" s="1673"/>
      <c r="E5" s="1673"/>
      <c r="F5" s="1673"/>
      <c r="G5" s="1674"/>
      <c r="H5" s="835"/>
      <c r="I5" s="350"/>
      <c r="J5" s="1662"/>
      <c r="K5" s="351"/>
      <c r="L5" s="351"/>
      <c r="M5" s="351"/>
      <c r="N5" s="351"/>
      <c r="O5" s="351"/>
      <c r="P5" s="346"/>
      <c r="Q5" s="346"/>
      <c r="R5" s="346"/>
      <c r="S5" s="347"/>
    </row>
    <row r="6" spans="1:19" s="341" customFormat="1" ht="7" customHeight="1" x14ac:dyDescent="0.25">
      <c r="B6" s="1649" t="s">
        <v>362</v>
      </c>
      <c r="C6" s="1651" t="s">
        <v>363</v>
      </c>
      <c r="D6" s="1652"/>
      <c r="E6" s="1649" t="s">
        <v>364</v>
      </c>
      <c r="F6" s="1649" t="s">
        <v>365</v>
      </c>
      <c r="G6" s="1649" t="s">
        <v>366</v>
      </c>
      <c r="H6" s="1696" t="s">
        <v>367</v>
      </c>
      <c r="I6" s="350"/>
      <c r="J6" s="1662"/>
      <c r="K6" s="353"/>
      <c r="L6" s="353"/>
      <c r="M6" s="345"/>
      <c r="N6" s="345"/>
      <c r="O6" s="354"/>
      <c r="P6" s="346"/>
      <c r="Q6" s="346"/>
      <c r="R6" s="346"/>
      <c r="S6" s="346"/>
    </row>
    <row r="7" spans="1:19" ht="14.5" customHeight="1" x14ac:dyDescent="0.35">
      <c r="B7" s="1649"/>
      <c r="C7" s="1651"/>
      <c r="D7" s="1652"/>
      <c r="E7" s="1649"/>
      <c r="F7" s="1649"/>
      <c r="G7" s="1649"/>
      <c r="H7" s="1697"/>
      <c r="J7" s="1640"/>
      <c r="K7" s="1640"/>
      <c r="L7" s="1640"/>
      <c r="M7" s="1640"/>
      <c r="N7" s="1640"/>
      <c r="O7" s="1640"/>
    </row>
    <row r="8" spans="1:19" ht="16.5" customHeight="1" x14ac:dyDescent="0.35">
      <c r="B8" s="1650"/>
      <c r="C8" s="360" t="s">
        <v>368</v>
      </c>
      <c r="D8" s="361" t="s">
        <v>369</v>
      </c>
      <c r="E8" s="1650"/>
      <c r="F8" s="362" t="s">
        <v>370</v>
      </c>
      <c r="G8" s="1650"/>
      <c r="H8" s="1698"/>
      <c r="J8" s="1640"/>
      <c r="K8" s="1640"/>
      <c r="L8" s="1640"/>
      <c r="M8" s="1640"/>
      <c r="N8" s="1640"/>
      <c r="O8" s="1640"/>
    </row>
    <row r="9" spans="1:19" ht="21" customHeight="1" x14ac:dyDescent="0.35">
      <c r="B9" s="1746" t="s">
        <v>435</v>
      </c>
      <c r="C9" s="1747"/>
      <c r="D9" s="1747"/>
      <c r="E9" s="1747"/>
      <c r="F9" s="1313">
        <f>F10+F58</f>
        <v>3079468034.4099998</v>
      </c>
      <c r="G9" s="656"/>
      <c r="H9" s="838"/>
      <c r="I9" s="353"/>
      <c r="J9" s="354"/>
      <c r="K9" s="338"/>
      <c r="L9" s="338"/>
      <c r="M9" s="338"/>
      <c r="N9" s="338"/>
      <c r="O9" s="338"/>
      <c r="P9" s="340"/>
    </row>
    <row r="10" spans="1:19" s="365" customFormat="1" ht="21" customHeight="1" x14ac:dyDescent="0.25">
      <c r="B10" s="588" t="s">
        <v>219</v>
      </c>
      <c r="C10" s="534"/>
      <c r="D10" s="534"/>
      <c r="E10" s="534"/>
      <c r="F10" s="373">
        <f>SUM(F11)+F23+F49+F52+F56</f>
        <v>1213334459.4000001</v>
      </c>
      <c r="G10" s="367"/>
      <c r="H10" s="839"/>
      <c r="J10" s="1445"/>
      <c r="O10" s="353"/>
      <c r="P10" s="353"/>
      <c r="Q10" s="353"/>
      <c r="R10" s="353"/>
      <c r="S10" s="353"/>
    </row>
    <row r="11" spans="1:19" s="365" customFormat="1" ht="21" customHeight="1" x14ac:dyDescent="0.25">
      <c r="B11" s="1024" t="s">
        <v>372</v>
      </c>
      <c r="C11" s="534"/>
      <c r="D11" s="534"/>
      <c r="E11" s="534"/>
      <c r="F11" s="373">
        <f>SUM(F12:F22)</f>
        <v>558600162.10000002</v>
      </c>
      <c r="G11" s="367"/>
      <c r="H11" s="839"/>
      <c r="J11" s="353"/>
      <c r="O11" s="353"/>
      <c r="P11" s="353"/>
      <c r="Q11" s="353"/>
      <c r="R11" s="353"/>
      <c r="S11" s="353"/>
    </row>
    <row r="12" spans="1:19" s="840" customFormat="1" ht="19.5" customHeight="1" x14ac:dyDescent="0.25">
      <c r="B12" s="636">
        <v>150000139040</v>
      </c>
      <c r="C12" s="1315" t="s">
        <v>673</v>
      </c>
      <c r="D12" s="1315">
        <v>45019</v>
      </c>
      <c r="E12" s="628" t="s">
        <v>674</v>
      </c>
      <c r="F12" s="1254">
        <v>167430159.75</v>
      </c>
      <c r="G12" s="1316">
        <v>3</v>
      </c>
      <c r="H12" s="1317"/>
      <c r="I12" s="1049"/>
      <c r="J12" s="353"/>
      <c r="K12" s="370"/>
      <c r="O12" s="846"/>
      <c r="P12" s="846"/>
      <c r="Q12" s="846"/>
      <c r="R12" s="846"/>
      <c r="S12" s="846"/>
    </row>
    <row r="13" spans="1:19" s="840" customFormat="1" ht="19.5" customHeight="1" x14ac:dyDescent="0.25">
      <c r="B13" s="636">
        <v>150000139050</v>
      </c>
      <c r="C13" s="1315" t="s">
        <v>673</v>
      </c>
      <c r="D13" s="1315">
        <v>45019</v>
      </c>
      <c r="E13" s="628" t="s">
        <v>674</v>
      </c>
      <c r="F13" s="1254">
        <v>80132074.459999993</v>
      </c>
      <c r="G13" s="1316">
        <v>3</v>
      </c>
      <c r="H13" s="1317"/>
      <c r="I13" s="1049"/>
      <c r="J13" s="353"/>
      <c r="K13" s="370"/>
      <c r="O13" s="846"/>
      <c r="P13" s="846"/>
      <c r="Q13" s="846"/>
      <c r="R13" s="846"/>
      <c r="S13" s="846"/>
    </row>
    <row r="14" spans="1:19" s="840" customFormat="1" ht="19.5" customHeight="1" x14ac:dyDescent="0.25">
      <c r="B14" s="636">
        <v>15000139078</v>
      </c>
      <c r="C14" s="1315" t="s">
        <v>673</v>
      </c>
      <c r="D14" s="1315">
        <v>45019</v>
      </c>
      <c r="E14" s="628" t="s">
        <v>674</v>
      </c>
      <c r="F14" s="1254">
        <v>120800000</v>
      </c>
      <c r="G14" s="1316">
        <v>3</v>
      </c>
      <c r="H14" s="1317" t="s">
        <v>697</v>
      </c>
      <c r="I14" s="1049"/>
      <c r="J14" s="353"/>
      <c r="K14" s="370"/>
      <c r="O14" s="846"/>
      <c r="P14" s="846"/>
      <c r="Q14" s="846"/>
      <c r="R14" s="846"/>
      <c r="S14" s="846"/>
    </row>
    <row r="15" spans="1:19" s="971" customFormat="1" ht="19.5" customHeight="1" x14ac:dyDescent="0.25">
      <c r="B15" s="1213">
        <v>110000083806</v>
      </c>
      <c r="C15" s="879">
        <v>44895</v>
      </c>
      <c r="D15" s="879">
        <v>45992</v>
      </c>
      <c r="E15" s="880" t="s">
        <v>477</v>
      </c>
      <c r="F15" s="881">
        <v>203074.67</v>
      </c>
      <c r="G15" s="1214">
        <v>4.2</v>
      </c>
      <c r="H15" s="1319" t="s">
        <v>437</v>
      </c>
      <c r="I15" s="1320"/>
      <c r="J15" s="974"/>
      <c r="O15" s="974"/>
      <c r="P15" s="974"/>
      <c r="Q15" s="974"/>
      <c r="R15" s="974"/>
      <c r="S15" s="974"/>
    </row>
    <row r="16" spans="1:19" s="971" customFormat="1" ht="19.5" customHeight="1" x14ac:dyDescent="0.25">
      <c r="B16" s="1213">
        <v>110000083815</v>
      </c>
      <c r="C16" s="879">
        <v>44895</v>
      </c>
      <c r="D16" s="879">
        <v>45992</v>
      </c>
      <c r="E16" s="880" t="s">
        <v>477</v>
      </c>
      <c r="F16" s="881">
        <v>93425.72</v>
      </c>
      <c r="G16" s="1214">
        <v>4.2</v>
      </c>
      <c r="H16" s="1319" t="s">
        <v>437</v>
      </c>
      <c r="I16" s="1320"/>
      <c r="J16" s="974"/>
      <c r="O16" s="974"/>
      <c r="P16" s="974"/>
      <c r="Q16" s="974"/>
      <c r="R16" s="974"/>
      <c r="S16" s="974"/>
    </row>
    <row r="17" spans="1:19" s="971" customFormat="1" ht="19.5" customHeight="1" x14ac:dyDescent="0.25">
      <c r="B17" s="1213">
        <v>110000083833</v>
      </c>
      <c r="C17" s="879">
        <v>44895</v>
      </c>
      <c r="D17" s="879">
        <v>45992</v>
      </c>
      <c r="E17" s="880" t="s">
        <v>477</v>
      </c>
      <c r="F17" s="881">
        <v>1628234.62</v>
      </c>
      <c r="G17" s="1214">
        <v>4.2</v>
      </c>
      <c r="H17" s="1319" t="s">
        <v>437</v>
      </c>
      <c r="I17" s="1320"/>
      <c r="J17" s="974"/>
      <c r="O17" s="974"/>
      <c r="P17" s="974"/>
      <c r="Q17" s="974"/>
      <c r="R17" s="974"/>
      <c r="S17" s="974"/>
    </row>
    <row r="18" spans="1:19" s="971" customFormat="1" ht="19.5" customHeight="1" x14ac:dyDescent="0.25">
      <c r="B18" s="1213">
        <v>110000083780</v>
      </c>
      <c r="C18" s="879">
        <v>44895</v>
      </c>
      <c r="D18" s="879">
        <v>45992</v>
      </c>
      <c r="E18" s="880" t="s">
        <v>477</v>
      </c>
      <c r="F18" s="881">
        <v>9050867.8300000001</v>
      </c>
      <c r="G18" s="1214">
        <v>4.2</v>
      </c>
      <c r="H18" s="1319" t="s">
        <v>437</v>
      </c>
      <c r="I18" s="1320"/>
      <c r="J18" s="974"/>
      <c r="O18" s="974"/>
      <c r="P18" s="974"/>
      <c r="Q18" s="974"/>
      <c r="R18" s="974"/>
      <c r="S18" s="974"/>
    </row>
    <row r="19" spans="1:19" s="971" customFormat="1" ht="19.5" customHeight="1" x14ac:dyDescent="0.25">
      <c r="B19" s="1213">
        <v>110000083870</v>
      </c>
      <c r="C19" s="879">
        <v>44895</v>
      </c>
      <c r="D19" s="879">
        <v>45992</v>
      </c>
      <c r="E19" s="880" t="s">
        <v>477</v>
      </c>
      <c r="F19" s="881">
        <v>7806415.6299999999</v>
      </c>
      <c r="G19" s="1214">
        <v>4.2</v>
      </c>
      <c r="H19" s="1319" t="s">
        <v>437</v>
      </c>
      <c r="I19" s="1320"/>
      <c r="J19" s="974"/>
      <c r="O19" s="974"/>
      <c r="P19" s="974"/>
      <c r="Q19" s="974"/>
      <c r="R19" s="974"/>
      <c r="S19" s="974"/>
    </row>
    <row r="20" spans="1:19" s="370" customFormat="1" ht="19.5" customHeight="1" x14ac:dyDescent="0.25">
      <c r="A20" s="365"/>
      <c r="B20" s="644">
        <v>110000053315</v>
      </c>
      <c r="C20" s="871">
        <v>42916</v>
      </c>
      <c r="D20" s="871">
        <v>45838</v>
      </c>
      <c r="E20" s="872" t="s">
        <v>383</v>
      </c>
      <c r="F20" s="873">
        <v>130615601.88</v>
      </c>
      <c r="G20" s="1237">
        <v>3.25</v>
      </c>
      <c r="H20" s="1322" t="s">
        <v>375</v>
      </c>
      <c r="I20" s="365" t="s">
        <v>397</v>
      </c>
      <c r="J20" s="353"/>
      <c r="K20" s="599"/>
      <c r="O20" s="374"/>
      <c r="P20" s="374"/>
      <c r="Q20" s="374"/>
      <c r="R20" s="374"/>
      <c r="S20" s="374"/>
    </row>
    <row r="21" spans="1:19" s="370" customFormat="1" ht="19.5" customHeight="1" x14ac:dyDescent="0.25">
      <c r="A21" s="365"/>
      <c r="B21" s="644">
        <v>110000058581</v>
      </c>
      <c r="C21" s="871" t="s">
        <v>398</v>
      </c>
      <c r="D21" s="871" t="s">
        <v>399</v>
      </c>
      <c r="E21" s="872" t="s">
        <v>383</v>
      </c>
      <c r="F21" s="873">
        <v>36500662.579999998</v>
      </c>
      <c r="G21" s="1237">
        <v>3.3</v>
      </c>
      <c r="H21" s="1322" t="s">
        <v>375</v>
      </c>
      <c r="I21" s="365" t="s">
        <v>400</v>
      </c>
      <c r="J21" s="353"/>
      <c r="K21" s="599"/>
      <c r="O21" s="374"/>
      <c r="P21" s="374"/>
      <c r="Q21" s="374"/>
      <c r="R21" s="374"/>
      <c r="S21" s="374"/>
    </row>
    <row r="22" spans="1:19" s="365" customFormat="1" ht="19.5" customHeight="1" x14ac:dyDescent="0.25">
      <c r="B22" s="1213">
        <v>110000084124</v>
      </c>
      <c r="C22" s="880">
        <v>44917</v>
      </c>
      <c r="D22" s="880">
        <v>47840</v>
      </c>
      <c r="E22" s="880" t="s">
        <v>383</v>
      </c>
      <c r="F22" s="873">
        <v>4339644.96</v>
      </c>
      <c r="G22" s="808">
        <v>5.5</v>
      </c>
      <c r="H22" s="1319" t="s">
        <v>437</v>
      </c>
      <c r="I22" s="365" t="s">
        <v>698</v>
      </c>
      <c r="J22" s="353"/>
      <c r="O22" s="353"/>
      <c r="P22" s="353"/>
      <c r="Q22" s="353"/>
      <c r="R22" s="353"/>
      <c r="S22" s="353"/>
    </row>
    <row r="23" spans="1:19" s="365" customFormat="1" ht="21" customHeight="1" x14ac:dyDescent="0.25">
      <c r="B23" s="1324" t="s">
        <v>401</v>
      </c>
      <c r="C23" s="1060"/>
      <c r="D23" s="1060"/>
      <c r="E23" s="1230"/>
      <c r="F23" s="1061">
        <f>SUM(F24:F48)</f>
        <v>497234297.30000001</v>
      </c>
      <c r="G23" s="1325"/>
      <c r="H23" s="839"/>
      <c r="J23" s="353"/>
      <c r="O23" s="353"/>
      <c r="P23" s="353"/>
      <c r="Q23" s="353"/>
      <c r="R23" s="353"/>
      <c r="S23" s="353"/>
    </row>
    <row r="24" spans="1:19" s="392" customFormat="1" ht="21" hidden="1" customHeight="1" x14ac:dyDescent="0.25">
      <c r="B24" s="806"/>
      <c r="C24" s="879"/>
      <c r="D24" s="879"/>
      <c r="E24" s="880"/>
      <c r="F24" s="881"/>
      <c r="G24" s="808"/>
      <c r="H24" s="1322" t="s">
        <v>375</v>
      </c>
      <c r="I24" s="392" t="s">
        <v>18</v>
      </c>
      <c r="J24" s="393"/>
      <c r="O24" s="393"/>
      <c r="P24" s="393"/>
      <c r="Q24" s="393"/>
      <c r="R24" s="393"/>
      <c r="S24" s="393"/>
    </row>
    <row r="25" spans="1:19" s="392" customFormat="1" ht="21" hidden="1" customHeight="1" x14ac:dyDescent="0.25">
      <c r="B25" s="806"/>
      <c r="C25" s="879"/>
      <c r="D25" s="879"/>
      <c r="E25" s="880"/>
      <c r="F25" s="881"/>
      <c r="G25" s="808"/>
      <c r="H25" s="1319" t="s">
        <v>437</v>
      </c>
      <c r="I25" s="392" t="s">
        <v>699</v>
      </c>
      <c r="J25" s="393"/>
      <c r="O25" s="393"/>
      <c r="P25" s="393"/>
      <c r="Q25" s="393"/>
      <c r="R25" s="393"/>
      <c r="S25" s="393"/>
    </row>
    <row r="26" spans="1:19" s="386" customFormat="1" ht="21" customHeight="1" x14ac:dyDescent="0.25">
      <c r="A26" s="392"/>
      <c r="B26" s="644" t="s">
        <v>442</v>
      </c>
      <c r="C26" s="871">
        <v>42599</v>
      </c>
      <c r="D26" s="871">
        <v>45155</v>
      </c>
      <c r="E26" s="872" t="s">
        <v>381</v>
      </c>
      <c r="F26" s="873">
        <v>10275434.09</v>
      </c>
      <c r="G26" s="649">
        <v>4.8</v>
      </c>
      <c r="H26" s="1322" t="s">
        <v>375</v>
      </c>
      <c r="I26" s="392"/>
      <c r="J26" s="393">
        <f>F26*4.8/100</f>
        <v>493220.84</v>
      </c>
      <c r="O26" s="604"/>
      <c r="P26" s="604"/>
      <c r="Q26" s="604"/>
      <c r="R26" s="604"/>
      <c r="S26" s="604"/>
    </row>
    <row r="27" spans="1:19" s="579" customFormat="1" ht="21" customHeight="1" x14ac:dyDescent="0.25">
      <c r="B27" s="806" t="s">
        <v>443</v>
      </c>
      <c r="C27" s="879">
        <v>42250</v>
      </c>
      <c r="D27" s="879">
        <v>45170</v>
      </c>
      <c r="E27" s="880" t="s">
        <v>383</v>
      </c>
      <c r="F27" s="881">
        <v>41978090.93</v>
      </c>
      <c r="G27" s="808">
        <v>4.875</v>
      </c>
      <c r="H27" s="1322" t="s">
        <v>375</v>
      </c>
      <c r="I27" s="392"/>
      <c r="J27" s="393">
        <f t="shared" ref="J27:J48" si="0">F27*4.8/100</f>
        <v>2014948.36</v>
      </c>
      <c r="O27" s="581"/>
      <c r="P27" s="581"/>
      <c r="Q27" s="581"/>
      <c r="R27" s="581"/>
      <c r="S27" s="581"/>
    </row>
    <row r="28" spans="1:19" s="392" customFormat="1" ht="21" customHeight="1" x14ac:dyDescent="0.25">
      <c r="B28" s="806" t="s">
        <v>445</v>
      </c>
      <c r="C28" s="879">
        <v>42277</v>
      </c>
      <c r="D28" s="879">
        <v>45197</v>
      </c>
      <c r="E28" s="880" t="s">
        <v>383</v>
      </c>
      <c r="F28" s="881">
        <v>11110167.27</v>
      </c>
      <c r="G28" s="808">
        <v>4.9000000000000004</v>
      </c>
      <c r="H28" s="1322" t="s">
        <v>375</v>
      </c>
      <c r="J28" s="393">
        <f t="shared" si="0"/>
        <v>533288.03</v>
      </c>
      <c r="O28" s="393"/>
      <c r="P28" s="393"/>
      <c r="Q28" s="393"/>
      <c r="R28" s="393"/>
      <c r="S28" s="393"/>
    </row>
    <row r="29" spans="1:19" s="579" customFormat="1" ht="21" customHeight="1" x14ac:dyDescent="0.25">
      <c r="B29" s="644" t="s">
        <v>446</v>
      </c>
      <c r="C29" s="871">
        <v>43340</v>
      </c>
      <c r="D29" s="872">
        <v>45530</v>
      </c>
      <c r="E29" s="872" t="s">
        <v>379</v>
      </c>
      <c r="F29" s="873">
        <v>8254649.3200000003</v>
      </c>
      <c r="G29" s="649">
        <v>4.875</v>
      </c>
      <c r="H29" s="1322" t="s">
        <v>375</v>
      </c>
      <c r="I29" s="392" t="s">
        <v>447</v>
      </c>
      <c r="J29" s="393">
        <f t="shared" si="0"/>
        <v>396223.17</v>
      </c>
      <c r="N29" s="581"/>
      <c r="O29" s="581"/>
      <c r="P29" s="581"/>
      <c r="Q29" s="581"/>
      <c r="R29" s="581"/>
    </row>
    <row r="30" spans="1:19" s="386" customFormat="1" ht="21" customHeight="1" x14ac:dyDescent="0.25">
      <c r="A30" s="392"/>
      <c r="B30" s="644" t="s">
        <v>448</v>
      </c>
      <c r="C30" s="871">
        <v>43017</v>
      </c>
      <c r="D30" s="872">
        <v>45574</v>
      </c>
      <c r="E30" s="872" t="s">
        <v>381</v>
      </c>
      <c r="F30" s="873">
        <v>11837095.42</v>
      </c>
      <c r="G30" s="808">
        <v>4.5</v>
      </c>
      <c r="H30" s="1322" t="s">
        <v>375</v>
      </c>
      <c r="I30" s="392"/>
      <c r="J30" s="393">
        <f t="shared" si="0"/>
        <v>568180.57999999996</v>
      </c>
      <c r="O30" s="604"/>
      <c r="P30" s="604"/>
      <c r="Q30" s="604"/>
      <c r="R30" s="604"/>
      <c r="S30" s="604"/>
    </row>
    <row r="31" spans="1:19" s="386" customFormat="1" ht="21" customHeight="1" x14ac:dyDescent="0.25">
      <c r="A31" s="392"/>
      <c r="B31" s="644" t="s">
        <v>449</v>
      </c>
      <c r="C31" s="871">
        <v>43511</v>
      </c>
      <c r="D31" s="872">
        <v>45702</v>
      </c>
      <c r="E31" s="872" t="s">
        <v>379</v>
      </c>
      <c r="F31" s="873">
        <v>40953267.450000003</v>
      </c>
      <c r="G31" s="808">
        <v>5</v>
      </c>
      <c r="H31" s="1322" t="s">
        <v>375</v>
      </c>
      <c r="I31" s="392"/>
      <c r="J31" s="393">
        <f t="shared" si="0"/>
        <v>1965756.84</v>
      </c>
      <c r="O31" s="604"/>
      <c r="P31" s="604"/>
      <c r="Q31" s="604"/>
      <c r="R31" s="604"/>
      <c r="S31" s="604"/>
    </row>
    <row r="32" spans="1:19" s="579" customFormat="1" ht="21" customHeight="1" x14ac:dyDescent="0.25">
      <c r="B32" s="1329" t="s">
        <v>450</v>
      </c>
      <c r="C32" s="871">
        <v>43434</v>
      </c>
      <c r="D32" s="871">
        <v>45988</v>
      </c>
      <c r="E32" s="872" t="s">
        <v>381</v>
      </c>
      <c r="F32" s="873">
        <v>12660000</v>
      </c>
      <c r="G32" s="649">
        <v>5.125</v>
      </c>
      <c r="H32" s="1322" t="s">
        <v>375</v>
      </c>
      <c r="I32" s="392" t="s">
        <v>451</v>
      </c>
      <c r="J32" s="393">
        <f t="shared" si="0"/>
        <v>607680</v>
      </c>
      <c r="O32" s="581"/>
      <c r="P32" s="581"/>
      <c r="Q32" s="581"/>
      <c r="R32" s="581"/>
      <c r="S32" s="581"/>
    </row>
    <row r="33" spans="2:19" s="579" customFormat="1" ht="21" customHeight="1" x14ac:dyDescent="0.25">
      <c r="B33" s="644" t="s">
        <v>452</v>
      </c>
      <c r="C33" s="871">
        <v>43452</v>
      </c>
      <c r="D33" s="871">
        <v>46007</v>
      </c>
      <c r="E33" s="872" t="s">
        <v>381</v>
      </c>
      <c r="F33" s="873">
        <v>8065285.2000000002</v>
      </c>
      <c r="G33" s="649">
        <v>5.125</v>
      </c>
      <c r="H33" s="1322" t="s">
        <v>375</v>
      </c>
      <c r="I33" s="391" t="s">
        <v>453</v>
      </c>
      <c r="J33" s="393">
        <f t="shared" si="0"/>
        <v>387133.69</v>
      </c>
      <c r="O33" s="581"/>
      <c r="P33" s="581"/>
      <c r="Q33" s="581"/>
      <c r="R33" s="581"/>
      <c r="S33" s="581"/>
    </row>
    <row r="34" spans="2:19" s="579" customFormat="1" ht="21" customHeight="1" x14ac:dyDescent="0.25">
      <c r="B34" s="644" t="s">
        <v>454</v>
      </c>
      <c r="C34" s="871">
        <v>43815</v>
      </c>
      <c r="D34" s="871">
        <v>46370</v>
      </c>
      <c r="E34" s="872" t="s">
        <v>381</v>
      </c>
      <c r="F34" s="873">
        <v>4618825.3099999996</v>
      </c>
      <c r="G34" s="649">
        <v>4.25</v>
      </c>
      <c r="H34" s="1322" t="s">
        <v>375</v>
      </c>
      <c r="I34" s="608" t="s">
        <v>409</v>
      </c>
      <c r="J34" s="393">
        <f t="shared" si="0"/>
        <v>221703.61</v>
      </c>
      <c r="O34" s="581"/>
      <c r="P34" s="581"/>
      <c r="Q34" s="581"/>
      <c r="R34" s="581"/>
      <c r="S34" s="581"/>
    </row>
    <row r="35" spans="2:19" s="609" customFormat="1" ht="21" customHeight="1" x14ac:dyDescent="0.25">
      <c r="B35" s="644" t="s">
        <v>455</v>
      </c>
      <c r="C35" s="871">
        <v>44075</v>
      </c>
      <c r="D35" s="871">
        <v>46629</v>
      </c>
      <c r="E35" s="872" t="s">
        <v>381</v>
      </c>
      <c r="F35" s="873">
        <v>123965.58</v>
      </c>
      <c r="G35" s="649">
        <v>3.53</v>
      </c>
      <c r="H35" s="1322" t="s">
        <v>375</v>
      </c>
      <c r="I35" s="610"/>
      <c r="J35" s="393">
        <f t="shared" si="0"/>
        <v>5950.35</v>
      </c>
      <c r="O35" s="611"/>
      <c r="P35" s="611"/>
      <c r="Q35" s="611"/>
      <c r="R35" s="611"/>
      <c r="S35" s="611"/>
    </row>
    <row r="36" spans="2:19" s="612" customFormat="1" ht="21" customHeight="1" x14ac:dyDescent="0.25">
      <c r="B36" s="644" t="s">
        <v>456</v>
      </c>
      <c r="C36" s="871">
        <v>43815</v>
      </c>
      <c r="D36" s="871">
        <v>46735</v>
      </c>
      <c r="E36" s="872" t="s">
        <v>383</v>
      </c>
      <c r="F36" s="873">
        <v>25000000</v>
      </c>
      <c r="G36" s="649">
        <v>4.375</v>
      </c>
      <c r="H36" s="1322" t="s">
        <v>375</v>
      </c>
      <c r="I36" s="608" t="s">
        <v>409</v>
      </c>
      <c r="J36" s="393">
        <f t="shared" si="0"/>
        <v>1200000</v>
      </c>
      <c r="O36" s="613"/>
      <c r="P36" s="613"/>
      <c r="Q36" s="613"/>
      <c r="R36" s="613"/>
      <c r="S36" s="613"/>
    </row>
    <row r="37" spans="2:19" s="855" customFormat="1" ht="21" customHeight="1" x14ac:dyDescent="0.25">
      <c r="B37" s="806" t="s">
        <v>564</v>
      </c>
      <c r="C37" s="879">
        <v>44799</v>
      </c>
      <c r="D37" s="879">
        <v>46989</v>
      </c>
      <c r="E37" s="880" t="s">
        <v>379</v>
      </c>
      <c r="F37" s="881">
        <v>2165000</v>
      </c>
      <c r="G37" s="808">
        <v>4.125</v>
      </c>
      <c r="H37" s="1332" t="s">
        <v>437</v>
      </c>
      <c r="I37" s="860"/>
      <c r="J37" s="393">
        <f t="shared" si="0"/>
        <v>103920</v>
      </c>
      <c r="O37" s="861"/>
      <c r="P37" s="861"/>
      <c r="Q37" s="861"/>
      <c r="R37" s="861"/>
      <c r="S37" s="861"/>
    </row>
    <row r="38" spans="2:19" s="612" customFormat="1" ht="21" customHeight="1" x14ac:dyDescent="0.25">
      <c r="B38" s="644" t="s">
        <v>457</v>
      </c>
      <c r="C38" s="871">
        <v>44075</v>
      </c>
      <c r="D38" s="871">
        <v>46995</v>
      </c>
      <c r="E38" s="872" t="s">
        <v>383</v>
      </c>
      <c r="F38" s="873">
        <v>50000000</v>
      </c>
      <c r="G38" s="649">
        <v>3.55</v>
      </c>
      <c r="H38" s="1322" t="s">
        <v>375</v>
      </c>
      <c r="I38" s="608"/>
      <c r="J38" s="393">
        <f t="shared" si="0"/>
        <v>2400000</v>
      </c>
      <c r="O38" s="613"/>
      <c r="P38" s="613"/>
      <c r="Q38" s="613"/>
      <c r="R38" s="613"/>
      <c r="S38" s="613"/>
    </row>
    <row r="39" spans="2:19" s="612" customFormat="1" ht="21" customHeight="1" x14ac:dyDescent="0.25">
      <c r="B39" s="644" t="s">
        <v>458</v>
      </c>
      <c r="C39" s="871">
        <v>44676</v>
      </c>
      <c r="D39" s="871">
        <v>47231</v>
      </c>
      <c r="E39" s="872" t="s">
        <v>381</v>
      </c>
      <c r="F39" s="873">
        <v>30000000</v>
      </c>
      <c r="G39" s="649">
        <v>3.125</v>
      </c>
      <c r="H39" s="1322" t="s">
        <v>437</v>
      </c>
      <c r="I39" s="608" t="s">
        <v>459</v>
      </c>
      <c r="J39" s="393">
        <f t="shared" si="0"/>
        <v>1440000</v>
      </c>
      <c r="O39" s="613"/>
      <c r="P39" s="613"/>
      <c r="Q39" s="613"/>
      <c r="R39" s="613"/>
      <c r="S39" s="613"/>
    </row>
    <row r="40" spans="2:19" s="612" customFormat="1" ht="21" customHeight="1" x14ac:dyDescent="0.25">
      <c r="B40" s="644" t="s">
        <v>460</v>
      </c>
      <c r="C40" s="871">
        <v>44726</v>
      </c>
      <c r="D40" s="871">
        <v>47281</v>
      </c>
      <c r="E40" s="872" t="s">
        <v>381</v>
      </c>
      <c r="F40" s="873">
        <v>21000000</v>
      </c>
      <c r="G40" s="649">
        <v>3.95</v>
      </c>
      <c r="H40" s="1322" t="s">
        <v>437</v>
      </c>
      <c r="I40" s="608"/>
      <c r="J40" s="393">
        <f t="shared" si="0"/>
        <v>1008000</v>
      </c>
      <c r="O40" s="613"/>
      <c r="P40" s="613"/>
      <c r="Q40" s="613"/>
      <c r="R40" s="613"/>
      <c r="S40" s="613"/>
    </row>
    <row r="41" spans="2:19" s="855" customFormat="1" ht="21" customHeight="1" x14ac:dyDescent="0.25">
      <c r="B41" s="806" t="s">
        <v>565</v>
      </c>
      <c r="C41" s="879">
        <v>44799</v>
      </c>
      <c r="D41" s="879">
        <v>47354</v>
      </c>
      <c r="E41" s="880" t="s">
        <v>381</v>
      </c>
      <c r="F41" s="881">
        <v>2165000</v>
      </c>
      <c r="G41" s="808">
        <v>4.25</v>
      </c>
      <c r="H41" s="1332"/>
      <c r="I41" s="860"/>
      <c r="J41" s="393">
        <f t="shared" si="0"/>
        <v>103920</v>
      </c>
      <c r="O41" s="861"/>
      <c r="P41" s="861"/>
      <c r="Q41" s="861"/>
      <c r="R41" s="861"/>
      <c r="S41" s="861"/>
    </row>
    <row r="42" spans="2:19" s="612" customFormat="1" ht="21" customHeight="1" x14ac:dyDescent="0.25">
      <c r="B42" s="644" t="s">
        <v>461</v>
      </c>
      <c r="C42" s="871">
        <v>44260</v>
      </c>
      <c r="D42" s="871">
        <v>47547</v>
      </c>
      <c r="E42" s="872" t="s">
        <v>462</v>
      </c>
      <c r="F42" s="873">
        <v>25000000</v>
      </c>
      <c r="G42" s="649">
        <v>3</v>
      </c>
      <c r="H42" s="1322" t="s">
        <v>437</v>
      </c>
      <c r="I42" s="610" t="s">
        <v>463</v>
      </c>
      <c r="J42" s="393">
        <f t="shared" si="0"/>
        <v>1200000</v>
      </c>
      <c r="O42" s="613"/>
      <c r="P42" s="613"/>
      <c r="Q42" s="613"/>
      <c r="R42" s="613"/>
      <c r="S42" s="613"/>
    </row>
    <row r="43" spans="2:19" s="612" customFormat="1" ht="21" customHeight="1" x14ac:dyDescent="0.25">
      <c r="B43" s="806" t="s">
        <v>700</v>
      </c>
      <c r="C43" s="879">
        <v>44995</v>
      </c>
      <c r="D43" s="879">
        <v>47918</v>
      </c>
      <c r="E43" s="880" t="s">
        <v>383</v>
      </c>
      <c r="F43" s="881">
        <v>50000000</v>
      </c>
      <c r="G43" s="808">
        <v>5.55</v>
      </c>
      <c r="H43" s="1322"/>
      <c r="I43" s="610"/>
      <c r="J43" s="393">
        <f t="shared" si="0"/>
        <v>2400000</v>
      </c>
      <c r="O43" s="613"/>
      <c r="P43" s="613"/>
      <c r="Q43" s="613"/>
      <c r="R43" s="613"/>
      <c r="S43" s="613"/>
    </row>
    <row r="44" spans="2:19" s="612" customFormat="1" ht="21" customHeight="1" x14ac:dyDescent="0.25">
      <c r="B44" s="644" t="s">
        <v>464</v>
      </c>
      <c r="C44" s="871">
        <v>44676</v>
      </c>
      <c r="D44" s="871">
        <v>47596</v>
      </c>
      <c r="E44" s="872" t="s">
        <v>383</v>
      </c>
      <c r="F44" s="873">
        <v>20000000</v>
      </c>
      <c r="G44" s="649">
        <v>3.25</v>
      </c>
      <c r="H44" s="1322" t="s">
        <v>437</v>
      </c>
      <c r="I44" s="608" t="s">
        <v>459</v>
      </c>
      <c r="J44" s="393">
        <f t="shared" si="0"/>
        <v>960000</v>
      </c>
      <c r="O44" s="613"/>
      <c r="P44" s="613"/>
      <c r="Q44" s="613"/>
      <c r="R44" s="613"/>
      <c r="S44" s="613"/>
    </row>
    <row r="45" spans="2:19" s="855" customFormat="1" ht="21" customHeight="1" x14ac:dyDescent="0.25">
      <c r="B45" s="806" t="s">
        <v>566</v>
      </c>
      <c r="C45" s="879">
        <v>44799</v>
      </c>
      <c r="D45" s="879">
        <v>47721</v>
      </c>
      <c r="E45" s="880" t="s">
        <v>383</v>
      </c>
      <c r="F45" s="881">
        <v>2162267.63</v>
      </c>
      <c r="G45" s="808">
        <v>4.5</v>
      </c>
      <c r="H45" s="1322" t="s">
        <v>437</v>
      </c>
      <c r="I45" s="860"/>
      <c r="J45" s="393">
        <f t="shared" si="0"/>
        <v>103788.85</v>
      </c>
      <c r="O45" s="861"/>
      <c r="P45" s="861"/>
      <c r="Q45" s="861"/>
      <c r="R45" s="861"/>
      <c r="S45" s="861"/>
    </row>
    <row r="46" spans="2:19" s="855" customFormat="1" ht="21" customHeight="1" x14ac:dyDescent="0.25">
      <c r="B46" s="806" t="s">
        <v>701</v>
      </c>
      <c r="C46" s="879">
        <v>44995</v>
      </c>
      <c r="D46" s="879">
        <v>46820</v>
      </c>
      <c r="E46" s="880" t="s">
        <v>376</v>
      </c>
      <c r="F46" s="881">
        <v>16237598.560000001</v>
      </c>
      <c r="G46" s="808">
        <v>5.15</v>
      </c>
      <c r="H46" s="1322"/>
      <c r="I46" s="860"/>
      <c r="J46" s="393">
        <f t="shared" si="0"/>
        <v>779404.73</v>
      </c>
      <c r="O46" s="861"/>
      <c r="P46" s="861"/>
      <c r="Q46" s="861"/>
      <c r="R46" s="861"/>
      <c r="S46" s="861"/>
    </row>
    <row r="47" spans="2:19" s="855" customFormat="1" ht="21" customHeight="1" x14ac:dyDescent="0.25">
      <c r="B47" s="806" t="s">
        <v>465</v>
      </c>
      <c r="C47" s="879">
        <v>44676</v>
      </c>
      <c r="D47" s="879">
        <v>47961</v>
      </c>
      <c r="E47" s="880" t="s">
        <v>462</v>
      </c>
      <c r="F47" s="881">
        <v>8500000</v>
      </c>
      <c r="G47" s="808">
        <v>3.375</v>
      </c>
      <c r="H47" s="1322"/>
      <c r="I47" s="860"/>
      <c r="J47" s="393">
        <f t="shared" si="0"/>
        <v>408000</v>
      </c>
      <c r="O47" s="861"/>
      <c r="P47" s="861"/>
      <c r="Q47" s="861"/>
      <c r="R47" s="861"/>
      <c r="S47" s="861"/>
    </row>
    <row r="48" spans="2:19" s="609" customFormat="1" ht="21" customHeight="1" x14ac:dyDescent="0.25">
      <c r="B48" s="728" t="s">
        <v>724</v>
      </c>
      <c r="C48" s="1446">
        <v>45016</v>
      </c>
      <c r="D48" s="1446">
        <v>48302</v>
      </c>
      <c r="E48" s="378" t="s">
        <v>462</v>
      </c>
      <c r="F48" s="727">
        <v>95127650.540000007</v>
      </c>
      <c r="G48" s="389">
        <v>5.625</v>
      </c>
      <c r="H48" s="1322" t="s">
        <v>437</v>
      </c>
      <c r="I48" s="610" t="s">
        <v>459</v>
      </c>
      <c r="J48" s="393">
        <f t="shared" si="0"/>
        <v>4566127.2300000004</v>
      </c>
      <c r="O48" s="611"/>
      <c r="P48" s="611"/>
      <c r="Q48" s="611"/>
      <c r="R48" s="611"/>
      <c r="S48" s="611"/>
    </row>
    <row r="49" spans="1:19" s="365" customFormat="1" ht="21" customHeight="1" x14ac:dyDescent="0.25">
      <c r="B49" s="1334" t="s">
        <v>423</v>
      </c>
      <c r="C49" s="1289"/>
      <c r="D49" s="1289"/>
      <c r="E49" s="1335"/>
      <c r="F49" s="1336">
        <f>SUM(F50:F51)</f>
        <v>63000000</v>
      </c>
      <c r="G49" s="1235"/>
      <c r="H49" s="839"/>
      <c r="J49" s="353">
        <f>SUM(J26:J48)</f>
        <v>23867246.280000001</v>
      </c>
      <c r="K49" s="1447">
        <f>J49/F23</f>
        <v>4.8000000000000001E-2</v>
      </c>
      <c r="O49" s="353"/>
      <c r="P49" s="353"/>
      <c r="Q49" s="353"/>
      <c r="R49" s="353"/>
      <c r="S49" s="353"/>
    </row>
    <row r="50" spans="1:19" s="365" customFormat="1" ht="21" customHeight="1" x14ac:dyDescent="0.25">
      <c r="A50" s="519"/>
      <c r="B50" s="1337">
        <v>50401000670</v>
      </c>
      <c r="C50" s="880">
        <v>44802</v>
      </c>
      <c r="D50" s="880">
        <v>46262</v>
      </c>
      <c r="E50" s="1338" t="s">
        <v>408</v>
      </c>
      <c r="F50" s="881">
        <v>31500000</v>
      </c>
      <c r="G50" s="808">
        <v>4.7</v>
      </c>
      <c r="H50" s="1322" t="s">
        <v>437</v>
      </c>
      <c r="J50" s="353"/>
      <c r="O50" s="353"/>
      <c r="P50" s="353"/>
      <c r="Q50" s="353"/>
      <c r="R50" s="353"/>
      <c r="S50" s="353"/>
    </row>
    <row r="51" spans="1:19" s="365" customFormat="1" ht="21" customHeight="1" x14ac:dyDescent="0.25">
      <c r="A51" s="519"/>
      <c r="B51" s="1337">
        <v>50401000686</v>
      </c>
      <c r="C51" s="880">
        <v>44802</v>
      </c>
      <c r="D51" s="880">
        <v>46627</v>
      </c>
      <c r="E51" s="1338" t="s">
        <v>376</v>
      </c>
      <c r="F51" s="881">
        <v>31500000</v>
      </c>
      <c r="G51" s="808">
        <v>4.8</v>
      </c>
      <c r="H51" s="1322" t="s">
        <v>437</v>
      </c>
      <c r="J51" s="353"/>
      <c r="O51" s="353"/>
      <c r="P51" s="353"/>
      <c r="Q51" s="353"/>
      <c r="R51" s="353"/>
      <c r="S51" s="353"/>
    </row>
    <row r="52" spans="1:19" s="365" customFormat="1" ht="21" customHeight="1" x14ac:dyDescent="0.25">
      <c r="B52" s="1334" t="s">
        <v>567</v>
      </c>
      <c r="C52" s="1289"/>
      <c r="D52" s="1289"/>
      <c r="E52" s="1335"/>
      <c r="F52" s="1336">
        <f>SUM(F53:F55)</f>
        <v>63000000</v>
      </c>
      <c r="G52" s="1235"/>
      <c r="H52" s="839"/>
      <c r="J52" s="353"/>
      <c r="O52" s="353"/>
      <c r="P52" s="353"/>
      <c r="Q52" s="353"/>
      <c r="R52" s="353"/>
      <c r="S52" s="353"/>
    </row>
    <row r="53" spans="1:19" s="365" customFormat="1" ht="21" customHeight="1" x14ac:dyDescent="0.25">
      <c r="A53" s="519"/>
      <c r="B53" s="644">
        <v>130020000610160</v>
      </c>
      <c r="C53" s="871">
        <v>44803</v>
      </c>
      <c r="D53" s="871">
        <v>45898</v>
      </c>
      <c r="E53" s="872" t="s">
        <v>477</v>
      </c>
      <c r="F53" s="873">
        <v>21000000</v>
      </c>
      <c r="G53" s="874">
        <v>4.0999999999999996</v>
      </c>
      <c r="H53" s="1322" t="s">
        <v>437</v>
      </c>
      <c r="J53" s="353"/>
      <c r="O53" s="353"/>
      <c r="P53" s="353"/>
      <c r="Q53" s="353"/>
      <c r="R53" s="353"/>
      <c r="S53" s="353"/>
    </row>
    <row r="54" spans="1:19" s="365" customFormat="1" ht="21" customHeight="1" x14ac:dyDescent="0.25">
      <c r="A54" s="519"/>
      <c r="B54" s="644">
        <v>130020000610112</v>
      </c>
      <c r="C54" s="871">
        <v>44803</v>
      </c>
      <c r="D54" s="871">
        <v>46265</v>
      </c>
      <c r="E54" s="872" t="s">
        <v>408</v>
      </c>
      <c r="F54" s="873">
        <v>21000000</v>
      </c>
      <c r="G54" s="874">
        <v>4.5</v>
      </c>
      <c r="H54" s="1322" t="s">
        <v>437</v>
      </c>
      <c r="J54" s="353"/>
      <c r="O54" s="353"/>
      <c r="P54" s="353"/>
      <c r="Q54" s="353"/>
      <c r="R54" s="353"/>
      <c r="S54" s="353"/>
    </row>
    <row r="55" spans="1:19" s="365" customFormat="1" ht="21" customHeight="1" x14ac:dyDescent="0.25">
      <c r="A55" s="519"/>
      <c r="B55" s="644">
        <v>130020000610110</v>
      </c>
      <c r="C55" s="871">
        <v>44803</v>
      </c>
      <c r="D55" s="871">
        <v>46629</v>
      </c>
      <c r="E55" s="872" t="s">
        <v>376</v>
      </c>
      <c r="F55" s="873">
        <v>21000000</v>
      </c>
      <c r="G55" s="874">
        <v>5</v>
      </c>
      <c r="H55" s="1322" t="s">
        <v>437</v>
      </c>
      <c r="J55" s="353"/>
      <c r="O55" s="353"/>
      <c r="P55" s="353"/>
      <c r="Q55" s="353"/>
      <c r="R55" s="353"/>
      <c r="S55" s="353"/>
    </row>
    <row r="56" spans="1:19" s="365" customFormat="1" ht="21" customHeight="1" x14ac:dyDescent="0.25">
      <c r="A56" s="519"/>
      <c r="B56" s="1334" t="s">
        <v>568</v>
      </c>
      <c r="C56" s="1289"/>
      <c r="D56" s="1289"/>
      <c r="E56" s="1335"/>
      <c r="F56" s="1336">
        <f>F57</f>
        <v>31500000</v>
      </c>
      <c r="G56" s="1235"/>
      <c r="H56" s="839"/>
      <c r="J56" s="353"/>
      <c r="O56" s="353"/>
      <c r="P56" s="353"/>
      <c r="Q56" s="353"/>
      <c r="R56" s="353"/>
      <c r="S56" s="353"/>
    </row>
    <row r="57" spans="1:19" s="365" customFormat="1" ht="21" customHeight="1" x14ac:dyDescent="0.25">
      <c r="A57" s="519"/>
      <c r="B57" s="1213">
        <v>258906338</v>
      </c>
      <c r="C57" s="880">
        <v>44777</v>
      </c>
      <c r="D57" s="880">
        <v>45873</v>
      </c>
      <c r="E57" s="880" t="s">
        <v>477</v>
      </c>
      <c r="F57" s="881">
        <v>31500000</v>
      </c>
      <c r="G57" s="808">
        <v>5.25</v>
      </c>
      <c r="H57" s="1322" t="s">
        <v>375</v>
      </c>
      <c r="J57" s="353"/>
      <c r="O57" s="353"/>
      <c r="P57" s="353"/>
      <c r="Q57" s="353"/>
      <c r="R57" s="353"/>
      <c r="S57" s="353"/>
    </row>
    <row r="58" spans="1:19" s="365" customFormat="1" ht="21" customHeight="1" x14ac:dyDescent="0.25">
      <c r="B58" s="1339" t="s">
        <v>284</v>
      </c>
      <c r="C58" s="1335"/>
      <c r="D58" s="1335"/>
      <c r="E58" s="1335"/>
      <c r="F58" s="1336">
        <f>SUM(F59)+F76+F108+F72+F112+F116</f>
        <v>1866133575.01</v>
      </c>
      <c r="G58" s="1235"/>
      <c r="H58" s="839"/>
      <c r="J58" s="1445"/>
      <c r="O58" s="353"/>
      <c r="P58" s="353"/>
      <c r="Q58" s="353"/>
      <c r="R58" s="353"/>
      <c r="S58" s="353"/>
    </row>
    <row r="59" spans="1:19" s="370" customFormat="1" ht="21" customHeight="1" x14ac:dyDescent="0.25">
      <c r="A59" s="365"/>
      <c r="B59" s="1340" t="s">
        <v>372</v>
      </c>
      <c r="C59" s="1335"/>
      <c r="D59" s="1335"/>
      <c r="E59" s="1060"/>
      <c r="F59" s="1341">
        <f>SUM(F60:F70)</f>
        <v>682277014.02999997</v>
      </c>
      <c r="G59" s="1229"/>
      <c r="H59" s="839"/>
      <c r="I59" s="365"/>
      <c r="J59" s="353"/>
      <c r="O59" s="374"/>
      <c r="P59" s="374"/>
      <c r="Q59" s="374"/>
      <c r="R59" s="374"/>
      <c r="S59" s="374"/>
    </row>
    <row r="60" spans="1:19" s="840" customFormat="1" ht="20.25" customHeight="1" x14ac:dyDescent="0.25">
      <c r="B60" s="1284">
        <v>150000139040</v>
      </c>
      <c r="C60" s="628" t="s">
        <v>673</v>
      </c>
      <c r="D60" s="1315">
        <v>45019</v>
      </c>
      <c r="E60" s="628" t="s">
        <v>674</v>
      </c>
      <c r="F60" s="1254">
        <v>148071788.30000001</v>
      </c>
      <c r="G60" s="1342">
        <v>3</v>
      </c>
      <c r="H60" s="1343"/>
      <c r="I60" s="987"/>
      <c r="J60" s="846"/>
      <c r="O60" s="846"/>
      <c r="P60" s="846"/>
      <c r="Q60" s="846"/>
      <c r="R60" s="846"/>
      <c r="S60" s="846"/>
    </row>
    <row r="61" spans="1:19" s="840" customFormat="1" ht="20.25" customHeight="1" x14ac:dyDescent="0.25">
      <c r="B61" s="1284">
        <v>150000139050</v>
      </c>
      <c r="C61" s="628" t="s">
        <v>673</v>
      </c>
      <c r="D61" s="1315">
        <v>45019</v>
      </c>
      <c r="E61" s="628" t="s">
        <v>674</v>
      </c>
      <c r="F61" s="1254">
        <v>70867157.870000005</v>
      </c>
      <c r="G61" s="1342">
        <v>3</v>
      </c>
      <c r="H61" s="1343"/>
      <c r="I61" s="987"/>
      <c r="J61" s="846"/>
      <c r="O61" s="846"/>
      <c r="P61" s="846"/>
      <c r="Q61" s="846"/>
      <c r="R61" s="846"/>
      <c r="S61" s="846"/>
    </row>
    <row r="62" spans="1:19" s="840" customFormat="1" ht="20.25" customHeight="1" x14ac:dyDescent="0.25">
      <c r="B62" s="1284">
        <v>15000139078</v>
      </c>
      <c r="C62" s="628" t="s">
        <v>673</v>
      </c>
      <c r="D62" s="1315">
        <v>45019</v>
      </c>
      <c r="E62" s="628" t="s">
        <v>674</v>
      </c>
      <c r="F62" s="1254">
        <v>181200000</v>
      </c>
      <c r="G62" s="1342">
        <v>3</v>
      </c>
      <c r="H62" s="1343"/>
      <c r="I62" s="987"/>
      <c r="J62" s="846"/>
      <c r="O62" s="846"/>
      <c r="P62" s="846"/>
      <c r="Q62" s="846"/>
      <c r="R62" s="846"/>
      <c r="S62" s="846"/>
    </row>
    <row r="63" spans="1:19" s="520" customFormat="1" ht="21" customHeight="1" x14ac:dyDescent="0.25">
      <c r="B63" s="1045">
        <v>110000058124</v>
      </c>
      <c r="C63" s="872">
        <v>43150</v>
      </c>
      <c r="D63" s="872">
        <v>45707</v>
      </c>
      <c r="E63" s="872" t="s">
        <v>381</v>
      </c>
      <c r="F63" s="873">
        <v>19953269.760000002</v>
      </c>
      <c r="G63" s="649">
        <v>3.15</v>
      </c>
      <c r="H63" s="1322" t="s">
        <v>375</v>
      </c>
      <c r="I63" s="405" t="s">
        <v>466</v>
      </c>
      <c r="J63" s="524"/>
      <c r="O63" s="524"/>
      <c r="P63" s="524"/>
      <c r="Q63" s="524"/>
      <c r="R63" s="524"/>
      <c r="S63" s="524"/>
    </row>
    <row r="64" spans="1:19" s="971" customFormat="1" ht="20.25" customHeight="1" x14ac:dyDescent="0.25">
      <c r="B64" s="1213">
        <v>110000083824</v>
      </c>
      <c r="C64" s="879">
        <v>44895</v>
      </c>
      <c r="D64" s="879">
        <v>45992</v>
      </c>
      <c r="E64" s="880" t="s">
        <v>477</v>
      </c>
      <c r="F64" s="881">
        <v>129016.48</v>
      </c>
      <c r="G64" s="1214">
        <v>4.2</v>
      </c>
      <c r="H64" s="1346" t="s">
        <v>437</v>
      </c>
      <c r="I64" s="869"/>
      <c r="J64" s="974"/>
      <c r="O64" s="974"/>
      <c r="P64" s="974"/>
      <c r="Q64" s="974"/>
      <c r="R64" s="974"/>
      <c r="S64" s="974"/>
    </row>
    <row r="65" spans="1:19" s="971" customFormat="1" ht="20.25" customHeight="1" x14ac:dyDescent="0.25">
      <c r="B65" s="1213">
        <v>110000083842</v>
      </c>
      <c r="C65" s="879">
        <v>44895</v>
      </c>
      <c r="D65" s="879">
        <v>45992</v>
      </c>
      <c r="E65" s="880" t="s">
        <v>477</v>
      </c>
      <c r="F65" s="881">
        <v>3207485.94</v>
      </c>
      <c r="G65" s="1214">
        <v>4.2</v>
      </c>
      <c r="H65" s="1346" t="s">
        <v>437</v>
      </c>
      <c r="I65" s="869"/>
      <c r="J65" s="974"/>
      <c r="O65" s="974"/>
      <c r="P65" s="974"/>
      <c r="Q65" s="974"/>
      <c r="R65" s="974"/>
      <c r="S65" s="974"/>
    </row>
    <row r="66" spans="1:19" s="971" customFormat="1" ht="20.25" customHeight="1" x14ac:dyDescent="0.25">
      <c r="B66" s="1213">
        <v>110000083790</v>
      </c>
      <c r="C66" s="879">
        <v>44895</v>
      </c>
      <c r="D66" s="879">
        <v>45992</v>
      </c>
      <c r="E66" s="880" t="s">
        <v>477</v>
      </c>
      <c r="F66" s="881">
        <v>26146455.379999999</v>
      </c>
      <c r="G66" s="1214">
        <v>4.2</v>
      </c>
      <c r="H66" s="1346" t="s">
        <v>437</v>
      </c>
      <c r="I66" s="869"/>
      <c r="J66" s="974"/>
      <c r="O66" s="974"/>
      <c r="P66" s="974"/>
      <c r="Q66" s="974"/>
      <c r="R66" s="974"/>
      <c r="S66" s="974"/>
    </row>
    <row r="67" spans="1:19" s="971" customFormat="1" ht="20.25" customHeight="1" x14ac:dyDescent="0.25">
      <c r="B67" s="1213">
        <v>110000083889</v>
      </c>
      <c r="C67" s="879">
        <v>44895</v>
      </c>
      <c r="D67" s="879">
        <v>45992</v>
      </c>
      <c r="E67" s="880" t="s">
        <v>477</v>
      </c>
      <c r="F67" s="881">
        <v>12377716.07</v>
      </c>
      <c r="G67" s="1214">
        <v>4.2</v>
      </c>
      <c r="H67" s="1346" t="s">
        <v>437</v>
      </c>
      <c r="I67" s="869"/>
      <c r="J67" s="974"/>
      <c r="O67" s="974"/>
      <c r="P67" s="974"/>
      <c r="Q67" s="974"/>
      <c r="R67" s="974"/>
      <c r="S67" s="974"/>
    </row>
    <row r="68" spans="1:19" s="370" customFormat="1" ht="21" customHeight="1" x14ac:dyDescent="0.25">
      <c r="A68" s="365"/>
      <c r="B68" s="644">
        <v>110000053342</v>
      </c>
      <c r="C68" s="880">
        <v>42916</v>
      </c>
      <c r="D68" s="880">
        <v>45838</v>
      </c>
      <c r="E68" s="872" t="s">
        <v>383</v>
      </c>
      <c r="F68" s="873">
        <v>144492578.03999999</v>
      </c>
      <c r="G68" s="1237">
        <v>3.25</v>
      </c>
      <c r="H68" s="1322" t="s">
        <v>375</v>
      </c>
      <c r="I68" s="365" t="s">
        <v>467</v>
      </c>
      <c r="J68" s="353"/>
      <c r="O68" s="374"/>
      <c r="P68" s="374"/>
      <c r="Q68" s="374"/>
      <c r="R68" s="374"/>
      <c r="S68" s="374"/>
    </row>
    <row r="69" spans="1:19" s="370" customFormat="1" ht="21" customHeight="1" x14ac:dyDescent="0.25">
      <c r="A69" s="365"/>
      <c r="B69" s="644">
        <v>110000058590</v>
      </c>
      <c r="C69" s="880" t="s">
        <v>398</v>
      </c>
      <c r="D69" s="880" t="s">
        <v>399</v>
      </c>
      <c r="E69" s="872" t="s">
        <v>383</v>
      </c>
      <c r="F69" s="873">
        <v>69205517.420000002</v>
      </c>
      <c r="G69" s="1237">
        <v>3.3</v>
      </c>
      <c r="H69" s="1322" t="s">
        <v>375</v>
      </c>
      <c r="I69" s="365" t="s">
        <v>400</v>
      </c>
      <c r="J69" s="353"/>
      <c r="O69" s="374"/>
      <c r="P69" s="374"/>
      <c r="Q69" s="374"/>
      <c r="R69" s="374"/>
      <c r="S69" s="374"/>
    </row>
    <row r="70" spans="1:19" s="370" customFormat="1" ht="21" customHeight="1" x14ac:dyDescent="0.25">
      <c r="A70" s="365"/>
      <c r="B70" s="1213">
        <v>110000084133</v>
      </c>
      <c r="C70" s="880">
        <v>44917</v>
      </c>
      <c r="D70" s="880">
        <v>47840</v>
      </c>
      <c r="E70" s="880" t="s">
        <v>383</v>
      </c>
      <c r="F70" s="873">
        <v>6626028.7699999996</v>
      </c>
      <c r="G70" s="808">
        <v>5.5</v>
      </c>
      <c r="H70" s="1346" t="s">
        <v>437</v>
      </c>
      <c r="I70" s="365" t="s">
        <v>702</v>
      </c>
      <c r="J70" s="353"/>
      <c r="O70" s="374"/>
      <c r="P70" s="374"/>
      <c r="Q70" s="374"/>
      <c r="R70" s="374"/>
      <c r="S70" s="374"/>
    </row>
    <row r="71" spans="1:19" s="365" customFormat="1" ht="21" hidden="1" customHeight="1" x14ac:dyDescent="0.25">
      <c r="B71" s="1347" t="s">
        <v>468</v>
      </c>
      <c r="C71" s="1335"/>
      <c r="D71" s="1335"/>
      <c r="E71" s="1335"/>
      <c r="F71" s="1336"/>
      <c r="G71" s="1235"/>
      <c r="H71" s="839"/>
      <c r="J71" s="1445"/>
      <c r="O71" s="353"/>
      <c r="P71" s="353"/>
      <c r="Q71" s="353"/>
      <c r="R71" s="353"/>
      <c r="S71" s="353"/>
    </row>
    <row r="72" spans="1:19" s="370" customFormat="1" ht="21" hidden="1" customHeight="1" x14ac:dyDescent="0.25">
      <c r="A72" s="365"/>
      <c r="B72" s="1340" t="s">
        <v>372</v>
      </c>
      <c r="C72" s="1335"/>
      <c r="D72" s="1335"/>
      <c r="E72" s="1335"/>
      <c r="F72" s="1336">
        <f>SUM(F73:F75)</f>
        <v>0</v>
      </c>
      <c r="G72" s="1235"/>
      <c r="H72" s="839"/>
      <c r="I72" s="365"/>
      <c r="J72" s="353"/>
      <c r="O72" s="374"/>
      <c r="P72" s="374"/>
      <c r="Q72" s="374"/>
      <c r="R72" s="374"/>
      <c r="S72" s="374"/>
    </row>
    <row r="73" spans="1:19" s="634" customFormat="1" ht="21" hidden="1" customHeight="1" x14ac:dyDescent="0.25">
      <c r="A73" s="624"/>
      <c r="B73" s="806"/>
      <c r="C73" s="880"/>
      <c r="D73" s="880"/>
      <c r="E73" s="880"/>
      <c r="F73" s="873"/>
      <c r="G73" s="1262"/>
      <c r="H73" s="1348" t="s">
        <v>569</v>
      </c>
      <c r="I73" s="633"/>
      <c r="J73" s="1448"/>
      <c r="O73" s="635"/>
      <c r="P73" s="635"/>
      <c r="Q73" s="635"/>
      <c r="R73" s="635"/>
      <c r="S73" s="635"/>
    </row>
    <row r="74" spans="1:19" s="634" customFormat="1" ht="21" hidden="1" customHeight="1" x14ac:dyDescent="0.25">
      <c r="A74" s="624"/>
      <c r="B74" s="806"/>
      <c r="C74" s="880"/>
      <c r="D74" s="880"/>
      <c r="E74" s="880"/>
      <c r="F74" s="873"/>
      <c r="G74" s="1262"/>
      <c r="H74" s="1348" t="s">
        <v>570</v>
      </c>
      <c r="I74" s="633"/>
      <c r="J74" s="1448"/>
      <c r="O74" s="635"/>
      <c r="P74" s="635"/>
      <c r="Q74" s="635"/>
      <c r="R74" s="635"/>
      <c r="S74" s="635"/>
    </row>
    <row r="75" spans="1:19" s="634" customFormat="1" ht="21" hidden="1" customHeight="1" x14ac:dyDescent="0.25">
      <c r="A75" s="624"/>
      <c r="B75" s="806"/>
      <c r="C75" s="880"/>
      <c r="D75" s="880"/>
      <c r="E75" s="880"/>
      <c r="F75" s="873"/>
      <c r="G75" s="1262"/>
      <c r="H75" s="1348" t="s">
        <v>571</v>
      </c>
      <c r="I75" s="633"/>
      <c r="J75" s="1448"/>
      <c r="O75" s="635"/>
      <c r="P75" s="635"/>
      <c r="Q75" s="635"/>
      <c r="R75" s="635"/>
      <c r="S75" s="635"/>
    </row>
    <row r="76" spans="1:19" s="365" customFormat="1" ht="21" customHeight="1" x14ac:dyDescent="0.25">
      <c r="A76" s="638"/>
      <c r="B76" s="1334" t="s">
        <v>401</v>
      </c>
      <c r="C76" s="1289"/>
      <c r="D76" s="1289"/>
      <c r="E76" s="1335"/>
      <c r="F76" s="1336">
        <f>SUM(F77:F107)</f>
        <v>893074967.97000003</v>
      </c>
      <c r="G76" s="1235"/>
      <c r="H76" s="839"/>
      <c r="J76" s="353"/>
      <c r="O76" s="353"/>
      <c r="P76" s="353"/>
      <c r="Q76" s="353"/>
      <c r="R76" s="353"/>
      <c r="S76" s="353"/>
    </row>
    <row r="77" spans="1:19" s="365" customFormat="1" ht="21" hidden="1" customHeight="1" x14ac:dyDescent="0.25">
      <c r="B77" s="644"/>
      <c r="C77" s="871"/>
      <c r="D77" s="871"/>
      <c r="E77" s="872"/>
      <c r="F77" s="873"/>
      <c r="G77" s="649"/>
      <c r="H77" s="1322" t="s">
        <v>375</v>
      </c>
      <c r="J77" s="353"/>
      <c r="O77" s="353"/>
      <c r="P77" s="353"/>
      <c r="Q77" s="353"/>
      <c r="R77" s="353"/>
      <c r="S77" s="353"/>
    </row>
    <row r="78" spans="1:19" s="971" customFormat="1" ht="20.25" hidden="1" customHeight="1" x14ac:dyDescent="0.25">
      <c r="B78" s="806"/>
      <c r="C78" s="879"/>
      <c r="D78" s="879"/>
      <c r="E78" s="880"/>
      <c r="F78" s="881"/>
      <c r="G78" s="808"/>
      <c r="H78" s="1319" t="s">
        <v>437</v>
      </c>
      <c r="I78" s="392" t="s">
        <v>699</v>
      </c>
      <c r="J78" s="974"/>
      <c r="O78" s="974"/>
      <c r="P78" s="974"/>
      <c r="Q78" s="974"/>
      <c r="R78" s="974"/>
      <c r="S78" s="974"/>
    </row>
    <row r="79" spans="1:19" s="370" customFormat="1" ht="21" customHeight="1" x14ac:dyDescent="0.25">
      <c r="A79" s="365"/>
      <c r="B79" s="644" t="s">
        <v>475</v>
      </c>
      <c r="C79" s="871">
        <v>42599</v>
      </c>
      <c r="D79" s="871">
        <v>45155</v>
      </c>
      <c r="E79" s="872" t="s">
        <v>381</v>
      </c>
      <c r="F79" s="873">
        <v>22277530.09</v>
      </c>
      <c r="G79" s="649">
        <v>4.8</v>
      </c>
      <c r="H79" s="1322" t="s">
        <v>375</v>
      </c>
      <c r="I79" s="365"/>
      <c r="J79" s="353">
        <f>F79*4.8/100</f>
        <v>1069321.44</v>
      </c>
      <c r="O79" s="374"/>
      <c r="P79" s="374"/>
      <c r="Q79" s="374"/>
      <c r="R79" s="374"/>
      <c r="S79" s="374"/>
    </row>
    <row r="80" spans="1:19" s="641" customFormat="1" ht="21" customHeight="1" x14ac:dyDescent="0.25">
      <c r="A80" s="640"/>
      <c r="B80" s="644" t="s">
        <v>476</v>
      </c>
      <c r="C80" s="871">
        <v>44075</v>
      </c>
      <c r="D80" s="871">
        <v>45168</v>
      </c>
      <c r="E80" s="872" t="s">
        <v>477</v>
      </c>
      <c r="F80" s="873">
        <v>333183.59999999998</v>
      </c>
      <c r="G80" s="649">
        <v>3</v>
      </c>
      <c r="H80" s="1322" t="s">
        <v>375</v>
      </c>
      <c r="I80" s="640"/>
      <c r="J80" s="353">
        <f t="shared" ref="J80:J107" si="1">F80*4.8/100</f>
        <v>15992.81</v>
      </c>
      <c r="O80" s="642"/>
      <c r="P80" s="642"/>
      <c r="Q80" s="642"/>
      <c r="R80" s="642"/>
      <c r="S80" s="642"/>
    </row>
    <row r="81" spans="1:19" s="520" customFormat="1" ht="21" customHeight="1" x14ac:dyDescent="0.25">
      <c r="B81" s="806" t="s">
        <v>478</v>
      </c>
      <c r="C81" s="879">
        <v>42277</v>
      </c>
      <c r="D81" s="879">
        <v>45197</v>
      </c>
      <c r="E81" s="880" t="s">
        <v>383</v>
      </c>
      <c r="F81" s="881">
        <v>19194586.809999999</v>
      </c>
      <c r="G81" s="808">
        <v>4.9000000000000004</v>
      </c>
      <c r="H81" s="1322" t="s">
        <v>375</v>
      </c>
      <c r="I81" s="365"/>
      <c r="J81" s="353">
        <f t="shared" si="1"/>
        <v>921340.17</v>
      </c>
      <c r="O81" s="524"/>
      <c r="P81" s="524"/>
      <c r="Q81" s="524"/>
      <c r="R81" s="524"/>
      <c r="S81" s="524"/>
    </row>
    <row r="82" spans="1:19" s="365" customFormat="1" ht="21" customHeight="1" x14ac:dyDescent="0.25">
      <c r="B82" s="644" t="s">
        <v>415</v>
      </c>
      <c r="C82" s="871">
        <v>43318</v>
      </c>
      <c r="D82" s="871">
        <v>45509</v>
      </c>
      <c r="E82" s="872" t="s">
        <v>379</v>
      </c>
      <c r="F82" s="873">
        <v>36000000</v>
      </c>
      <c r="G82" s="808">
        <v>4.875</v>
      </c>
      <c r="H82" s="1322" t="s">
        <v>375</v>
      </c>
      <c r="I82" s="365" t="s">
        <v>472</v>
      </c>
      <c r="J82" s="353">
        <f t="shared" si="1"/>
        <v>1728000</v>
      </c>
      <c r="O82" s="353"/>
      <c r="P82" s="353"/>
      <c r="Q82" s="353"/>
      <c r="R82" s="353"/>
      <c r="S82" s="353"/>
    </row>
    <row r="83" spans="1:19" s="520" customFormat="1" ht="21" customHeight="1" x14ac:dyDescent="0.25">
      <c r="B83" s="644" t="s">
        <v>479</v>
      </c>
      <c r="C83" s="871">
        <v>43340</v>
      </c>
      <c r="D83" s="872">
        <v>45530</v>
      </c>
      <c r="E83" s="872" t="s">
        <v>379</v>
      </c>
      <c r="F83" s="873">
        <v>10971068.67</v>
      </c>
      <c r="G83" s="649">
        <v>4.875</v>
      </c>
      <c r="H83" s="1322" t="s">
        <v>375</v>
      </c>
      <c r="I83" s="365" t="s">
        <v>480</v>
      </c>
      <c r="J83" s="353">
        <f t="shared" si="1"/>
        <v>526611.30000000005</v>
      </c>
      <c r="N83" s="524"/>
      <c r="O83" s="524"/>
      <c r="P83" s="524"/>
      <c r="Q83" s="524"/>
      <c r="R83" s="524"/>
    </row>
    <row r="84" spans="1:19" s="370" customFormat="1" ht="21" customHeight="1" x14ac:dyDescent="0.25">
      <c r="A84" s="365"/>
      <c r="B84" s="644" t="s">
        <v>481</v>
      </c>
      <c r="C84" s="871">
        <v>43017</v>
      </c>
      <c r="D84" s="872">
        <v>45574</v>
      </c>
      <c r="E84" s="872" t="s">
        <v>381</v>
      </c>
      <c r="F84" s="873">
        <v>15764183.26</v>
      </c>
      <c r="G84" s="808">
        <v>4.5</v>
      </c>
      <c r="H84" s="1322" t="s">
        <v>375</v>
      </c>
      <c r="I84" s="365"/>
      <c r="J84" s="353">
        <f t="shared" si="1"/>
        <v>756680.8</v>
      </c>
      <c r="O84" s="374"/>
      <c r="P84" s="374"/>
      <c r="Q84" s="374"/>
      <c r="R84" s="374"/>
      <c r="S84" s="374"/>
    </row>
    <row r="85" spans="1:19" s="370" customFormat="1" ht="21" customHeight="1" x14ac:dyDescent="0.25">
      <c r="A85" s="365"/>
      <c r="B85" s="644" t="s">
        <v>418</v>
      </c>
      <c r="C85" s="871">
        <v>43815</v>
      </c>
      <c r="D85" s="872">
        <v>45642</v>
      </c>
      <c r="E85" s="872" t="s">
        <v>376</v>
      </c>
      <c r="F85" s="873">
        <v>22144243.620000001</v>
      </c>
      <c r="G85" s="808">
        <v>4</v>
      </c>
      <c r="H85" s="1322" t="s">
        <v>375</v>
      </c>
      <c r="I85" s="365" t="s">
        <v>409</v>
      </c>
      <c r="J85" s="353">
        <f t="shared" si="1"/>
        <v>1062923.69</v>
      </c>
      <c r="O85" s="374"/>
      <c r="P85" s="374"/>
      <c r="Q85" s="374"/>
      <c r="R85" s="374"/>
      <c r="S85" s="374"/>
    </row>
    <row r="86" spans="1:19" s="370" customFormat="1" ht="21" customHeight="1" x14ac:dyDescent="0.25">
      <c r="A86" s="365"/>
      <c r="B86" s="644" t="s">
        <v>482</v>
      </c>
      <c r="C86" s="871">
        <v>43511</v>
      </c>
      <c r="D86" s="872">
        <v>45702</v>
      </c>
      <c r="E86" s="872" t="s">
        <v>379</v>
      </c>
      <c r="F86" s="873">
        <v>1181712.93</v>
      </c>
      <c r="G86" s="808">
        <v>5</v>
      </c>
      <c r="H86" s="1322" t="s">
        <v>375</v>
      </c>
      <c r="I86" s="365"/>
      <c r="J86" s="353">
        <f t="shared" si="1"/>
        <v>56722.22</v>
      </c>
      <c r="O86" s="374"/>
      <c r="P86" s="374"/>
      <c r="Q86" s="374"/>
      <c r="R86" s="374"/>
      <c r="S86" s="374"/>
    </row>
    <row r="87" spans="1:19" s="370" customFormat="1" ht="21" customHeight="1" x14ac:dyDescent="0.25">
      <c r="A87" s="365"/>
      <c r="B87" s="644" t="s">
        <v>483</v>
      </c>
      <c r="C87" s="871">
        <v>43403</v>
      </c>
      <c r="D87" s="872">
        <v>45960</v>
      </c>
      <c r="E87" s="872" t="s">
        <v>381</v>
      </c>
      <c r="F87" s="873">
        <v>33443142.440000001</v>
      </c>
      <c r="G87" s="808">
        <v>5</v>
      </c>
      <c r="H87" s="1322" t="s">
        <v>375</v>
      </c>
      <c r="I87" s="365"/>
      <c r="J87" s="353">
        <f t="shared" si="1"/>
        <v>1605270.84</v>
      </c>
      <c r="O87" s="374"/>
      <c r="P87" s="374"/>
      <c r="Q87" s="374"/>
      <c r="R87" s="374"/>
      <c r="S87" s="374"/>
    </row>
    <row r="88" spans="1:19" s="520" customFormat="1" ht="21" customHeight="1" x14ac:dyDescent="0.25">
      <c r="B88" s="1351" t="s">
        <v>484</v>
      </c>
      <c r="C88" s="871">
        <v>43434</v>
      </c>
      <c r="D88" s="871">
        <v>45988</v>
      </c>
      <c r="E88" s="872" t="s">
        <v>381</v>
      </c>
      <c r="F88" s="873">
        <v>35450000</v>
      </c>
      <c r="G88" s="649">
        <v>5.125</v>
      </c>
      <c r="H88" s="1322" t="s">
        <v>375</v>
      </c>
      <c r="I88" s="365"/>
      <c r="J88" s="353">
        <f t="shared" si="1"/>
        <v>1701600</v>
      </c>
      <c r="O88" s="524"/>
      <c r="P88" s="524"/>
      <c r="Q88" s="524"/>
      <c r="R88" s="524"/>
      <c r="S88" s="524"/>
    </row>
    <row r="89" spans="1:19" s="520" customFormat="1" ht="21" customHeight="1" x14ac:dyDescent="0.25">
      <c r="B89" s="644" t="s">
        <v>485</v>
      </c>
      <c r="C89" s="871">
        <v>43815</v>
      </c>
      <c r="D89" s="872">
        <v>46006</v>
      </c>
      <c r="E89" s="872" t="s">
        <v>379</v>
      </c>
      <c r="F89" s="873">
        <v>25000000</v>
      </c>
      <c r="G89" s="649">
        <v>4.125</v>
      </c>
      <c r="H89" s="1322" t="s">
        <v>375</v>
      </c>
      <c r="I89" s="365" t="s">
        <v>409</v>
      </c>
      <c r="J89" s="353">
        <f t="shared" si="1"/>
        <v>1200000</v>
      </c>
      <c r="O89" s="524"/>
      <c r="P89" s="524"/>
      <c r="Q89" s="524"/>
      <c r="R89" s="524"/>
      <c r="S89" s="524"/>
    </row>
    <row r="90" spans="1:19" s="520" customFormat="1" ht="21" customHeight="1" x14ac:dyDescent="0.25">
      <c r="B90" s="644" t="s">
        <v>486</v>
      </c>
      <c r="C90" s="871">
        <v>43452</v>
      </c>
      <c r="D90" s="871">
        <v>46007</v>
      </c>
      <c r="E90" s="872" t="s">
        <v>381</v>
      </c>
      <c r="F90" s="873">
        <v>12389162.4</v>
      </c>
      <c r="G90" s="649">
        <v>5.125</v>
      </c>
      <c r="H90" s="1322" t="s">
        <v>375</v>
      </c>
      <c r="I90" s="405" t="s">
        <v>453</v>
      </c>
      <c r="J90" s="353">
        <f t="shared" si="1"/>
        <v>594679.80000000005</v>
      </c>
      <c r="O90" s="524"/>
      <c r="P90" s="524"/>
      <c r="Q90" s="524"/>
      <c r="R90" s="524"/>
      <c r="S90" s="524"/>
    </row>
    <row r="91" spans="1:19" s="520" customFormat="1" ht="21" customHeight="1" x14ac:dyDescent="0.25">
      <c r="B91" s="644" t="s">
        <v>487</v>
      </c>
      <c r="C91" s="871">
        <v>44075</v>
      </c>
      <c r="D91" s="872">
        <v>46264</v>
      </c>
      <c r="E91" s="872" t="s">
        <v>379</v>
      </c>
      <c r="F91" s="873">
        <v>50000000</v>
      </c>
      <c r="G91" s="649">
        <v>3.5</v>
      </c>
      <c r="H91" s="1322" t="s">
        <v>375</v>
      </c>
      <c r="I91" s="365"/>
      <c r="J91" s="353">
        <f t="shared" si="1"/>
        <v>2400000</v>
      </c>
      <c r="O91" s="524"/>
      <c r="P91" s="524"/>
      <c r="Q91" s="524"/>
      <c r="R91" s="524"/>
      <c r="S91" s="524"/>
    </row>
    <row r="92" spans="1:19" s="520" customFormat="1" ht="21" customHeight="1" x14ac:dyDescent="0.25">
      <c r="B92" s="644" t="s">
        <v>454</v>
      </c>
      <c r="C92" s="871">
        <v>43815</v>
      </c>
      <c r="D92" s="872">
        <v>46370</v>
      </c>
      <c r="E92" s="872" t="s">
        <v>381</v>
      </c>
      <c r="F92" s="873">
        <v>20381174.690000001</v>
      </c>
      <c r="G92" s="649">
        <v>4.25</v>
      </c>
      <c r="H92" s="1322" t="s">
        <v>375</v>
      </c>
      <c r="I92" s="365" t="s">
        <v>409</v>
      </c>
      <c r="J92" s="353">
        <f t="shared" si="1"/>
        <v>978296.39</v>
      </c>
      <c r="O92" s="524"/>
      <c r="P92" s="524"/>
      <c r="Q92" s="524"/>
      <c r="R92" s="524"/>
      <c r="S92" s="524"/>
    </row>
    <row r="93" spans="1:19" s="609" customFormat="1" ht="21" customHeight="1" x14ac:dyDescent="0.25">
      <c r="B93" s="644" t="s">
        <v>488</v>
      </c>
      <c r="C93" s="871">
        <v>44179</v>
      </c>
      <c r="D93" s="872">
        <v>46370</v>
      </c>
      <c r="E93" s="872" t="s">
        <v>379</v>
      </c>
      <c r="F93" s="873">
        <v>50000000</v>
      </c>
      <c r="G93" s="649">
        <v>3</v>
      </c>
      <c r="H93" s="1322" t="s">
        <v>375</v>
      </c>
      <c r="I93" s="640" t="s">
        <v>489</v>
      </c>
      <c r="J93" s="353">
        <f t="shared" si="1"/>
        <v>2400000</v>
      </c>
      <c r="O93" s="611"/>
      <c r="P93" s="611"/>
      <c r="Q93" s="611"/>
      <c r="R93" s="611"/>
      <c r="S93" s="611"/>
    </row>
    <row r="94" spans="1:19" s="609" customFormat="1" ht="21" customHeight="1" x14ac:dyDescent="0.25">
      <c r="B94" s="644" t="s">
        <v>490</v>
      </c>
      <c r="C94" s="871">
        <v>44075</v>
      </c>
      <c r="D94" s="872">
        <v>46629</v>
      </c>
      <c r="E94" s="872" t="s">
        <v>381</v>
      </c>
      <c r="F94" s="873">
        <v>24876034.420000002</v>
      </c>
      <c r="G94" s="649">
        <v>3.53</v>
      </c>
      <c r="H94" s="1322" t="s">
        <v>375</v>
      </c>
      <c r="I94" s="640"/>
      <c r="J94" s="353">
        <f t="shared" si="1"/>
        <v>1194049.6499999999</v>
      </c>
      <c r="O94" s="611"/>
      <c r="P94" s="611"/>
      <c r="Q94" s="611"/>
      <c r="R94" s="611"/>
      <c r="S94" s="611"/>
    </row>
    <row r="95" spans="1:19" s="609" customFormat="1" ht="21" customHeight="1" x14ac:dyDescent="0.25">
      <c r="B95" s="644" t="s">
        <v>701</v>
      </c>
      <c r="C95" s="871">
        <v>44995</v>
      </c>
      <c r="D95" s="872">
        <v>46820</v>
      </c>
      <c r="E95" s="872" t="s">
        <v>376</v>
      </c>
      <c r="F95" s="873">
        <v>1852763.21</v>
      </c>
      <c r="G95" s="649">
        <v>5.15</v>
      </c>
      <c r="H95" s="1322"/>
      <c r="I95" s="640"/>
      <c r="J95" s="353">
        <f t="shared" si="1"/>
        <v>88932.63</v>
      </c>
      <c r="O95" s="611"/>
      <c r="P95" s="611"/>
      <c r="Q95" s="611"/>
      <c r="R95" s="611"/>
      <c r="S95" s="611"/>
    </row>
    <row r="96" spans="1:19" s="878" customFormat="1" ht="21" customHeight="1" x14ac:dyDescent="0.25">
      <c r="B96" s="806" t="s">
        <v>564</v>
      </c>
      <c r="C96" s="879">
        <v>44799</v>
      </c>
      <c r="D96" s="880">
        <v>46989</v>
      </c>
      <c r="E96" s="880" t="s">
        <v>379</v>
      </c>
      <c r="F96" s="881">
        <v>22835000</v>
      </c>
      <c r="G96" s="808">
        <v>4.125</v>
      </c>
      <c r="H96" s="1332" t="s">
        <v>437</v>
      </c>
      <c r="I96" s="883"/>
      <c r="J96" s="353">
        <f t="shared" si="1"/>
        <v>1096080</v>
      </c>
      <c r="O96" s="884"/>
      <c r="P96" s="884"/>
      <c r="Q96" s="884"/>
      <c r="R96" s="884"/>
      <c r="S96" s="884"/>
    </row>
    <row r="97" spans="1:19" s="609" customFormat="1" ht="21" customHeight="1" x14ac:dyDescent="0.25">
      <c r="B97" s="644" t="s">
        <v>491</v>
      </c>
      <c r="C97" s="871">
        <v>44726</v>
      </c>
      <c r="D97" s="872">
        <v>47281</v>
      </c>
      <c r="E97" s="872" t="s">
        <v>381</v>
      </c>
      <c r="F97" s="873">
        <v>29000000</v>
      </c>
      <c r="G97" s="649">
        <v>3.95</v>
      </c>
      <c r="H97" s="1322" t="s">
        <v>437</v>
      </c>
      <c r="I97" s="640"/>
      <c r="J97" s="353">
        <f t="shared" si="1"/>
        <v>1392000</v>
      </c>
      <c r="O97" s="611"/>
      <c r="P97" s="611"/>
      <c r="Q97" s="611"/>
      <c r="R97" s="611"/>
      <c r="S97" s="611"/>
    </row>
    <row r="98" spans="1:19" s="855" customFormat="1" ht="21" customHeight="1" x14ac:dyDescent="0.25">
      <c r="B98" s="806" t="s">
        <v>565</v>
      </c>
      <c r="C98" s="879">
        <v>44799</v>
      </c>
      <c r="D98" s="879">
        <v>47354</v>
      </c>
      <c r="E98" s="880" t="s">
        <v>381</v>
      </c>
      <c r="F98" s="881">
        <v>47835000</v>
      </c>
      <c r="G98" s="808">
        <v>4.25</v>
      </c>
      <c r="H98" s="1332" t="s">
        <v>437</v>
      </c>
      <c r="I98" s="860"/>
      <c r="J98" s="353">
        <f t="shared" si="1"/>
        <v>2296080</v>
      </c>
      <c r="O98" s="861"/>
      <c r="P98" s="861"/>
      <c r="Q98" s="861"/>
      <c r="R98" s="861"/>
      <c r="S98" s="861"/>
    </row>
    <row r="99" spans="1:19" s="885" customFormat="1" ht="21" customHeight="1" x14ac:dyDescent="0.25">
      <c r="B99" s="806" t="s">
        <v>566</v>
      </c>
      <c r="C99" s="879">
        <v>44799</v>
      </c>
      <c r="D99" s="880">
        <v>47721</v>
      </c>
      <c r="E99" s="880" t="s">
        <v>383</v>
      </c>
      <c r="F99" s="881">
        <v>47837732.369999997</v>
      </c>
      <c r="G99" s="808">
        <v>4.5</v>
      </c>
      <c r="H99" s="1322" t="s">
        <v>437</v>
      </c>
      <c r="I99" s="886"/>
      <c r="J99" s="353">
        <f t="shared" si="1"/>
        <v>2296211.15</v>
      </c>
      <c r="O99" s="887"/>
      <c r="P99" s="887"/>
      <c r="Q99" s="887"/>
      <c r="R99" s="887"/>
      <c r="S99" s="887"/>
    </row>
    <row r="100" spans="1:19" s="365" customFormat="1" ht="21" customHeight="1" x14ac:dyDescent="0.25">
      <c r="B100" s="644" t="s">
        <v>572</v>
      </c>
      <c r="C100" s="871">
        <v>44834</v>
      </c>
      <c r="D100" s="871">
        <v>47756</v>
      </c>
      <c r="E100" s="872" t="s">
        <v>383</v>
      </c>
      <c r="F100" s="873">
        <v>2936100</v>
      </c>
      <c r="G100" s="874">
        <v>4.125</v>
      </c>
      <c r="H100" s="1354" t="s">
        <v>437</v>
      </c>
      <c r="J100" s="353">
        <f t="shared" si="1"/>
        <v>140932.79999999999</v>
      </c>
      <c r="O100" s="353"/>
      <c r="P100" s="353"/>
      <c r="Q100" s="353"/>
      <c r="R100" s="353"/>
      <c r="S100" s="353"/>
    </row>
    <row r="101" spans="1:19" s="609" customFormat="1" ht="21" customHeight="1" x14ac:dyDescent="0.25">
      <c r="B101" s="644" t="s">
        <v>492</v>
      </c>
      <c r="C101" s="871">
        <v>44260</v>
      </c>
      <c r="D101" s="872">
        <v>47912</v>
      </c>
      <c r="E101" s="872" t="s">
        <v>493</v>
      </c>
      <c r="F101" s="873">
        <v>25000000</v>
      </c>
      <c r="G101" s="649">
        <v>3.125</v>
      </c>
      <c r="H101" s="1322" t="s">
        <v>437</v>
      </c>
      <c r="I101" s="640"/>
      <c r="J101" s="353">
        <f t="shared" si="1"/>
        <v>1200000</v>
      </c>
      <c r="O101" s="611"/>
      <c r="P101" s="611"/>
      <c r="Q101" s="611"/>
      <c r="R101" s="611"/>
      <c r="S101" s="611"/>
    </row>
    <row r="102" spans="1:19" s="609" customFormat="1" ht="21" customHeight="1" x14ac:dyDescent="0.25">
      <c r="B102" s="644" t="s">
        <v>703</v>
      </c>
      <c r="C102" s="871">
        <v>44995</v>
      </c>
      <c r="D102" s="872">
        <v>47914</v>
      </c>
      <c r="E102" s="872" t="s">
        <v>383</v>
      </c>
      <c r="F102" s="873">
        <v>100000000</v>
      </c>
      <c r="G102" s="649">
        <v>5.55</v>
      </c>
      <c r="H102" s="1322"/>
      <c r="I102" s="640"/>
      <c r="J102" s="353">
        <f t="shared" si="1"/>
        <v>4800000</v>
      </c>
      <c r="O102" s="611"/>
      <c r="P102" s="611"/>
      <c r="Q102" s="611"/>
      <c r="R102" s="611"/>
      <c r="S102" s="611"/>
    </row>
    <row r="103" spans="1:19" s="609" customFormat="1" ht="21" customHeight="1" x14ac:dyDescent="0.25">
      <c r="B103" s="806" t="s">
        <v>704</v>
      </c>
      <c r="C103" s="879">
        <v>44995</v>
      </c>
      <c r="D103" s="879">
        <v>47922</v>
      </c>
      <c r="E103" s="880" t="s">
        <v>383</v>
      </c>
      <c r="F103" s="881">
        <v>50000000</v>
      </c>
      <c r="G103" s="808">
        <v>5.55</v>
      </c>
      <c r="H103" s="1322"/>
      <c r="I103" s="640"/>
      <c r="J103" s="353">
        <f t="shared" si="1"/>
        <v>2400000</v>
      </c>
      <c r="O103" s="611"/>
      <c r="P103" s="611"/>
      <c r="Q103" s="611"/>
      <c r="R103" s="611"/>
      <c r="S103" s="611"/>
    </row>
    <row r="104" spans="1:19" s="609" customFormat="1" ht="21" customHeight="1" x14ac:dyDescent="0.25">
      <c r="B104" s="644" t="s">
        <v>465</v>
      </c>
      <c r="C104" s="871">
        <v>44676</v>
      </c>
      <c r="D104" s="872">
        <v>47961</v>
      </c>
      <c r="E104" s="872" t="s">
        <v>462</v>
      </c>
      <c r="F104" s="873">
        <v>11500000</v>
      </c>
      <c r="G104" s="649">
        <v>3.375</v>
      </c>
      <c r="H104" s="1322" t="s">
        <v>437</v>
      </c>
      <c r="I104" s="505" t="s">
        <v>459</v>
      </c>
      <c r="J104" s="353">
        <f t="shared" si="1"/>
        <v>552000</v>
      </c>
      <c r="O104" s="611"/>
      <c r="P104" s="611"/>
      <c r="Q104" s="611"/>
      <c r="R104" s="611"/>
      <c r="S104" s="611"/>
    </row>
    <row r="105" spans="1:19" s="609" customFormat="1" ht="21" customHeight="1" x14ac:dyDescent="0.25">
      <c r="B105" s="728" t="s">
        <v>724</v>
      </c>
      <c r="C105" s="1446">
        <v>45016</v>
      </c>
      <c r="D105" s="378">
        <v>48302</v>
      </c>
      <c r="E105" s="378" t="s">
        <v>462</v>
      </c>
      <c r="F105" s="727">
        <v>54872349.460000001</v>
      </c>
      <c r="G105" s="389">
        <v>5.625</v>
      </c>
      <c r="H105" s="1322"/>
      <c r="I105" s="505"/>
      <c r="J105" s="353">
        <f t="shared" si="1"/>
        <v>2633872.77</v>
      </c>
      <c r="O105" s="611"/>
      <c r="P105" s="611"/>
      <c r="Q105" s="611"/>
      <c r="R105" s="611"/>
      <c r="S105" s="611"/>
    </row>
    <row r="106" spans="1:19" s="609" customFormat="1" ht="21" customHeight="1" x14ac:dyDescent="0.25">
      <c r="B106" s="728" t="s">
        <v>725</v>
      </c>
      <c r="C106" s="1446">
        <v>45016</v>
      </c>
      <c r="D106" s="378">
        <v>48302</v>
      </c>
      <c r="E106" s="378" t="s">
        <v>462</v>
      </c>
      <c r="F106" s="727">
        <v>100000000</v>
      </c>
      <c r="G106" s="389">
        <v>5.75</v>
      </c>
      <c r="H106" s="1322"/>
      <c r="I106" s="505"/>
      <c r="J106" s="353">
        <f t="shared" si="1"/>
        <v>4800000</v>
      </c>
      <c r="O106" s="611"/>
      <c r="P106" s="611"/>
      <c r="Q106" s="611"/>
      <c r="R106" s="611"/>
      <c r="S106" s="611"/>
    </row>
    <row r="107" spans="1:19" s="609" customFormat="1" ht="21" customHeight="1" x14ac:dyDescent="0.25">
      <c r="B107" s="644" t="s">
        <v>494</v>
      </c>
      <c r="C107" s="871">
        <v>44676</v>
      </c>
      <c r="D107" s="872">
        <v>48326</v>
      </c>
      <c r="E107" s="872" t="s">
        <v>493</v>
      </c>
      <c r="F107" s="873">
        <v>20000000</v>
      </c>
      <c r="G107" s="649">
        <v>3.5</v>
      </c>
      <c r="H107" s="1322" t="s">
        <v>437</v>
      </c>
      <c r="I107" s="505" t="s">
        <v>459</v>
      </c>
      <c r="J107" s="353">
        <f t="shared" si="1"/>
        <v>960000</v>
      </c>
      <c r="O107" s="611"/>
      <c r="P107" s="611"/>
      <c r="Q107" s="611"/>
      <c r="R107" s="611"/>
      <c r="S107" s="611"/>
    </row>
    <row r="108" spans="1:19" s="365" customFormat="1" ht="27.75" customHeight="1" x14ac:dyDescent="0.25">
      <c r="B108" s="1334" t="s">
        <v>423</v>
      </c>
      <c r="C108" s="1289"/>
      <c r="D108" s="1289"/>
      <c r="E108" s="1335"/>
      <c r="F108" s="1336">
        <f>SUM(F109:F111)</f>
        <v>160281593.00999999</v>
      </c>
      <c r="G108" s="1235"/>
      <c r="H108" s="839"/>
      <c r="J108" s="353">
        <f>SUM(J79:J107)</f>
        <v>42867598.460000001</v>
      </c>
      <c r="K108" s="1447">
        <f>J108/F76</f>
        <v>4.8000000000000001E-2</v>
      </c>
      <c r="O108" s="353"/>
      <c r="P108" s="353"/>
      <c r="Q108" s="353"/>
      <c r="R108" s="353"/>
      <c r="S108" s="353"/>
    </row>
    <row r="109" spans="1:19" s="365" customFormat="1" ht="24" customHeight="1" x14ac:dyDescent="0.25">
      <c r="A109" s="519"/>
      <c r="B109" s="1213">
        <v>50401687976</v>
      </c>
      <c r="C109" s="880">
        <v>42333</v>
      </c>
      <c r="D109" s="880">
        <v>45253</v>
      </c>
      <c r="E109" s="880" t="s">
        <v>383</v>
      </c>
      <c r="F109" s="881">
        <v>73281593.010000005</v>
      </c>
      <c r="G109" s="808">
        <v>5.4</v>
      </c>
      <c r="H109" s="1322" t="s">
        <v>375</v>
      </c>
      <c r="J109" s="353"/>
      <c r="O109" s="353"/>
      <c r="P109" s="353"/>
      <c r="Q109" s="353"/>
      <c r="R109" s="353"/>
      <c r="S109" s="353"/>
    </row>
    <row r="110" spans="1:19" s="365" customFormat="1" ht="24" customHeight="1" x14ac:dyDescent="0.25">
      <c r="A110" s="519"/>
      <c r="B110" s="1213">
        <v>50401000670</v>
      </c>
      <c r="C110" s="880">
        <v>44802</v>
      </c>
      <c r="D110" s="880">
        <v>46262</v>
      </c>
      <c r="E110" s="880" t="s">
        <v>408</v>
      </c>
      <c r="F110" s="881">
        <v>43500000</v>
      </c>
      <c r="G110" s="808">
        <v>4.7</v>
      </c>
      <c r="H110" s="839" t="s">
        <v>437</v>
      </c>
      <c r="J110" s="353"/>
      <c r="O110" s="353"/>
      <c r="P110" s="353"/>
      <c r="Q110" s="353"/>
      <c r="R110" s="353"/>
      <c r="S110" s="353"/>
    </row>
    <row r="111" spans="1:19" s="365" customFormat="1" ht="24" customHeight="1" x14ac:dyDescent="0.25">
      <c r="A111" s="519"/>
      <c r="B111" s="1213">
        <v>50401000686</v>
      </c>
      <c r="C111" s="880">
        <v>44802</v>
      </c>
      <c r="D111" s="880">
        <v>46627</v>
      </c>
      <c r="E111" s="880" t="s">
        <v>376</v>
      </c>
      <c r="F111" s="881">
        <v>43500000</v>
      </c>
      <c r="G111" s="808">
        <v>4.8</v>
      </c>
      <c r="H111" s="839" t="s">
        <v>437</v>
      </c>
      <c r="J111" s="353"/>
      <c r="O111" s="353"/>
      <c r="P111" s="353"/>
      <c r="Q111" s="353"/>
      <c r="R111" s="353"/>
      <c r="S111" s="353"/>
    </row>
    <row r="112" spans="1:19" s="365" customFormat="1" ht="28.5" customHeight="1" x14ac:dyDescent="0.25">
      <c r="B112" s="1334" t="s">
        <v>567</v>
      </c>
      <c r="C112" s="1289"/>
      <c r="D112" s="1289"/>
      <c r="E112" s="1335"/>
      <c r="F112" s="1336">
        <f>SUM(F113:F115)</f>
        <v>87000000</v>
      </c>
      <c r="G112" s="1235"/>
      <c r="H112" s="839"/>
      <c r="J112" s="353"/>
      <c r="O112" s="353"/>
      <c r="P112" s="353"/>
      <c r="Q112" s="353"/>
      <c r="R112" s="353"/>
      <c r="S112" s="353"/>
    </row>
    <row r="113" spans="1:19" s="365" customFormat="1" ht="23.25" customHeight="1" x14ac:dyDescent="0.25">
      <c r="A113" s="519"/>
      <c r="B113" s="644">
        <v>130020000610160</v>
      </c>
      <c r="C113" s="871">
        <v>44803</v>
      </c>
      <c r="D113" s="871">
        <v>45898</v>
      </c>
      <c r="E113" s="872" t="s">
        <v>477</v>
      </c>
      <c r="F113" s="873">
        <v>29000000</v>
      </c>
      <c r="G113" s="874">
        <v>4.0999999999999996</v>
      </c>
      <c r="H113" s="1322" t="s">
        <v>437</v>
      </c>
      <c r="J113" s="353"/>
      <c r="O113" s="353"/>
      <c r="P113" s="353"/>
      <c r="Q113" s="353"/>
      <c r="R113" s="353"/>
      <c r="S113" s="353"/>
    </row>
    <row r="114" spans="1:19" s="365" customFormat="1" ht="23.25" customHeight="1" x14ac:dyDescent="0.25">
      <c r="A114" s="519"/>
      <c r="B114" s="644">
        <v>130020000610112</v>
      </c>
      <c r="C114" s="871">
        <v>44803</v>
      </c>
      <c r="D114" s="871">
        <v>46265</v>
      </c>
      <c r="E114" s="872" t="s">
        <v>408</v>
      </c>
      <c r="F114" s="873">
        <v>29000000</v>
      </c>
      <c r="G114" s="874">
        <v>4.5</v>
      </c>
      <c r="H114" s="1322" t="s">
        <v>437</v>
      </c>
      <c r="J114" s="353"/>
      <c r="O114" s="353"/>
      <c r="P114" s="353"/>
      <c r="Q114" s="353"/>
      <c r="R114" s="353"/>
      <c r="S114" s="353"/>
    </row>
    <row r="115" spans="1:19" s="365" customFormat="1" ht="23.25" customHeight="1" x14ac:dyDescent="0.25">
      <c r="A115" s="519"/>
      <c r="B115" s="644">
        <v>130020000610110</v>
      </c>
      <c r="C115" s="871">
        <v>44803</v>
      </c>
      <c r="D115" s="871">
        <v>46629</v>
      </c>
      <c r="E115" s="872" t="s">
        <v>376</v>
      </c>
      <c r="F115" s="873">
        <v>29000000</v>
      </c>
      <c r="G115" s="874">
        <v>5</v>
      </c>
      <c r="H115" s="1322" t="s">
        <v>437</v>
      </c>
      <c r="J115" s="353"/>
      <c r="O115" s="353"/>
      <c r="P115" s="353"/>
      <c r="Q115" s="353"/>
      <c r="R115" s="353"/>
      <c r="S115" s="353"/>
    </row>
    <row r="116" spans="1:19" s="365" customFormat="1" ht="21" customHeight="1" x14ac:dyDescent="0.25">
      <c r="B116" s="1334" t="s">
        <v>568</v>
      </c>
      <c r="C116" s="1289"/>
      <c r="D116" s="1289"/>
      <c r="E116" s="1335"/>
      <c r="F116" s="1336">
        <f>SUM(F117:F118)</f>
        <v>43500000</v>
      </c>
      <c r="G116" s="1235"/>
      <c r="H116" s="839"/>
      <c r="J116" s="353"/>
      <c r="O116" s="353"/>
      <c r="P116" s="353"/>
      <c r="Q116" s="353"/>
      <c r="R116" s="353"/>
      <c r="S116" s="353"/>
    </row>
    <row r="117" spans="1:19" s="365" customFormat="1" ht="21" customHeight="1" x14ac:dyDescent="0.25">
      <c r="A117" s="519"/>
      <c r="B117" s="1213">
        <v>258906338</v>
      </c>
      <c r="C117" s="880">
        <v>44777</v>
      </c>
      <c r="D117" s="880">
        <v>45873</v>
      </c>
      <c r="E117" s="880" t="s">
        <v>477</v>
      </c>
      <c r="F117" s="881">
        <v>43500000</v>
      </c>
      <c r="G117" s="808">
        <v>5.25</v>
      </c>
      <c r="H117" s="1322" t="s">
        <v>375</v>
      </c>
      <c r="J117" s="353"/>
      <c r="O117" s="353"/>
      <c r="P117" s="353"/>
      <c r="Q117" s="353"/>
      <c r="R117" s="353"/>
      <c r="S117" s="353"/>
    </row>
    <row r="118" spans="1:19" s="520" customFormat="1" ht="21" customHeight="1" x14ac:dyDescent="0.35">
      <c r="B118" s="938" t="str">
        <f>[12]SEGUROS!$B$55</f>
        <v xml:space="preserve">FUENTE: DEPTO DE TESORERIA - DNF </v>
      </c>
      <c r="C118" s="344"/>
      <c r="D118" s="459"/>
      <c r="E118" s="336"/>
      <c r="F118" s="456"/>
      <c r="G118" s="682"/>
      <c r="H118" s="839"/>
      <c r="I118" s="365"/>
      <c r="J118" s="1449"/>
      <c r="O118" s="524"/>
      <c r="P118" s="524"/>
      <c r="Q118" s="524"/>
      <c r="R118" s="524"/>
      <c r="S118" s="524"/>
    </row>
    <row r="119" spans="1:19" ht="21" customHeight="1" x14ac:dyDescent="0.35">
      <c r="B119" s="890" t="str">
        <f>'[12]RESUMEN '!B45:K45</f>
        <v>29/03/2023</v>
      </c>
      <c r="C119" s="344"/>
      <c r="D119" s="455"/>
      <c r="E119" s="336"/>
      <c r="F119" s="456">
        <f>F105+F106+F48</f>
        <v>250000000</v>
      </c>
      <c r="G119" s="682"/>
    </row>
    <row r="120" spans="1:19" ht="21" customHeight="1" x14ac:dyDescent="0.35">
      <c r="B120" s="677" t="str">
        <f>'[12]VENC. '!B$208</f>
        <v>Preparado por:    _______________________________________</v>
      </c>
      <c r="C120" s="453"/>
      <c r="D120" s="1656" t="str">
        <f>'[12]VENC. '!D$208</f>
        <v>Revisado por:      ___________________________________</v>
      </c>
      <c r="E120" s="1656"/>
      <c r="F120" s="1656"/>
      <c r="G120" s="1657"/>
    </row>
    <row r="121" spans="1:19" ht="21" customHeight="1" x14ac:dyDescent="0.35">
      <c r="B121" s="1740" t="s">
        <v>705</v>
      </c>
      <c r="C121" s="1741"/>
      <c r="E121" s="1656" t="str">
        <f>'[12]VENC. '!D$209</f>
        <v>Lic. Matilde Jordán</v>
      </c>
      <c r="F121" s="1656"/>
      <c r="G121" s="1657"/>
      <c r="H121" s="355"/>
      <c r="I121" s="355"/>
      <c r="J121" s="359"/>
      <c r="O121" s="355"/>
      <c r="P121" s="355"/>
      <c r="Q121" s="355"/>
      <c r="R121" s="355"/>
      <c r="S121" s="355"/>
    </row>
    <row r="122" spans="1:19" ht="13.5" customHeight="1" thickBot="1" x14ac:dyDescent="0.4">
      <c r="B122" s="1742" t="str">
        <f>'[12]VENC. '!B$210</f>
        <v>Analista Financiero</v>
      </c>
      <c r="C122" s="1743"/>
      <c r="D122" s="1358"/>
      <c r="E122" s="1744" t="str">
        <f>'[12]VENC. '!D$210</f>
        <v>Jefa del Departamento de Tesorería.</v>
      </c>
      <c r="F122" s="1744"/>
      <c r="G122" s="1745"/>
      <c r="H122" s="355"/>
      <c r="I122" s="355"/>
      <c r="J122" s="359"/>
      <c r="O122" s="355"/>
      <c r="P122" s="355"/>
      <c r="Q122" s="355"/>
      <c r="R122" s="355"/>
      <c r="S122" s="355"/>
    </row>
    <row r="123" spans="1:19" ht="21" customHeight="1" x14ac:dyDescent="0.35">
      <c r="B123" s="893"/>
      <c r="C123" s="894"/>
      <c r="D123" s="894"/>
      <c r="E123" s="894"/>
      <c r="F123" s="894"/>
      <c r="G123" s="895"/>
      <c r="H123" s="355"/>
      <c r="I123" s="355"/>
      <c r="J123" s="359"/>
      <c r="O123" s="355"/>
      <c r="P123" s="355"/>
      <c r="Q123" s="355"/>
      <c r="R123" s="355"/>
      <c r="S123" s="355"/>
    </row>
    <row r="124" spans="1:19" ht="16.5" customHeight="1" x14ac:dyDescent="0.35">
      <c r="B124" s="459"/>
      <c r="H124" s="355"/>
      <c r="I124" s="355"/>
      <c r="J124" s="359"/>
      <c r="O124" s="355"/>
      <c r="P124" s="355"/>
      <c r="Q124" s="355"/>
      <c r="R124" s="355"/>
      <c r="S124" s="355"/>
    </row>
  </sheetData>
  <mergeCells count="20">
    <mergeCell ref="B121:C121"/>
    <mergeCell ref="E121:G121"/>
    <mergeCell ref="B122:C122"/>
    <mergeCell ref="E122:G122"/>
    <mergeCell ref="F6:F7"/>
    <mergeCell ref="G6:G8"/>
    <mergeCell ref="H6:H8"/>
    <mergeCell ref="J7:O8"/>
    <mergeCell ref="B9:E9"/>
    <mergeCell ref="D120:G120"/>
    <mergeCell ref="K1:O1"/>
    <mergeCell ref="B2:G2"/>
    <mergeCell ref="B3:G3"/>
    <mergeCell ref="J3:O3"/>
    <mergeCell ref="B4:G4"/>
    <mergeCell ref="J4:J6"/>
    <mergeCell ref="B5:G5"/>
    <mergeCell ref="B6:B8"/>
    <mergeCell ref="C6:D7"/>
    <mergeCell ref="E6:E8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"/>
  <sheetViews>
    <sheetView workbookViewId="0"/>
  </sheetViews>
  <sheetFormatPr baseColWidth="10" defaultRowHeight="12.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 tint="0.59999389629810485"/>
    <pageSetUpPr fitToPage="1"/>
  </sheetPr>
  <dimension ref="B1:AJ50"/>
  <sheetViews>
    <sheetView showGridLines="0" zoomScale="130" zoomScaleNormal="130" workbookViewId="0">
      <selection activeCell="B4" sqref="B4:AA4"/>
    </sheetView>
  </sheetViews>
  <sheetFormatPr baseColWidth="10" defaultColWidth="11.453125" defaultRowHeight="13" x14ac:dyDescent="0.25"/>
  <cols>
    <col min="1" max="1" width="3.453125" style="30" customWidth="1"/>
    <col min="2" max="2" width="32.54296875" style="30" customWidth="1"/>
    <col min="3" max="3" width="0.81640625" style="30" customWidth="1"/>
    <col min="4" max="4" width="15.7265625" style="31" hidden="1" customWidth="1"/>
    <col min="5" max="5" width="9.26953125" style="193" hidden="1" customWidth="1"/>
    <col min="6" max="6" width="1" style="30" hidden="1" customWidth="1"/>
    <col min="7" max="7" width="15.7265625" style="30" hidden="1" customWidth="1"/>
    <col min="8" max="9" width="7.7265625" style="185" hidden="1" customWidth="1"/>
    <col min="10" max="10" width="15.7265625" style="30" hidden="1" customWidth="1"/>
    <col min="11" max="12" width="7.7265625" style="185" hidden="1" customWidth="1"/>
    <col min="13" max="13" width="15.7265625" style="30" hidden="1" customWidth="1"/>
    <col min="14" max="15" width="7.7265625" style="185" hidden="1" customWidth="1"/>
    <col min="16" max="16" width="15.7265625" style="30" hidden="1" customWidth="1"/>
    <col min="17" max="18" width="7.7265625" style="185" hidden="1" customWidth="1"/>
    <col min="19" max="19" width="15.7265625" style="30" hidden="1" customWidth="1"/>
    <col min="20" max="21" width="7.7265625" style="185" hidden="1" customWidth="1"/>
    <col min="22" max="22" width="15.7265625" style="1465" customWidth="1"/>
    <col min="23" max="24" width="7.7265625" style="185" customWidth="1"/>
    <col min="25" max="25" width="15.7265625" style="30" customWidth="1"/>
    <col min="26" max="27" width="7.7265625" style="185" customWidth="1"/>
    <col min="28" max="28" width="15.7265625" style="30" hidden="1" customWidth="1"/>
    <col min="29" max="30" width="7.7265625" style="185" hidden="1" customWidth="1"/>
    <col min="31" max="31" width="15.7265625" style="30" hidden="1" customWidth="1"/>
    <col min="32" max="33" width="7.7265625" style="185" hidden="1" customWidth="1"/>
    <col min="34" max="34" width="15.7265625" style="30" hidden="1" customWidth="1"/>
    <col min="35" max="35" width="7.7265625" style="185" hidden="1" customWidth="1"/>
    <col min="36" max="36" width="7.7265625" style="30" hidden="1" customWidth="1"/>
    <col min="37" max="16384" width="11.453125" style="30"/>
  </cols>
  <sheetData>
    <row r="1" spans="2:36" ht="15.5" x14ac:dyDescent="0.25">
      <c r="B1" s="137"/>
      <c r="C1" s="138"/>
      <c r="D1" s="138"/>
      <c r="E1" s="182"/>
      <c r="F1" s="138"/>
      <c r="G1" s="138"/>
      <c r="H1" s="182"/>
      <c r="I1" s="182"/>
      <c r="J1" s="138"/>
      <c r="K1" s="182"/>
      <c r="L1" s="182"/>
      <c r="M1" s="138"/>
      <c r="N1" s="182"/>
      <c r="O1" s="182"/>
      <c r="P1" s="138"/>
      <c r="Q1" s="182"/>
      <c r="R1" s="182"/>
      <c r="S1" s="138"/>
      <c r="T1" s="182"/>
      <c r="U1" s="182"/>
      <c r="V1" s="1457"/>
      <c r="W1" s="182"/>
      <c r="X1" s="182"/>
      <c r="Y1" s="138"/>
      <c r="Z1" s="182"/>
      <c r="AA1" s="182"/>
      <c r="AB1" s="138"/>
      <c r="AC1" s="182"/>
      <c r="AD1" s="182"/>
      <c r="AE1" s="138"/>
      <c r="AF1" s="182"/>
      <c r="AG1" s="182"/>
      <c r="AH1" s="138"/>
      <c r="AI1" s="182"/>
    </row>
    <row r="2" spans="2:36" ht="21" customHeight="1" x14ac:dyDescent="0.25">
      <c r="B2" s="1605" t="s">
        <v>0</v>
      </c>
      <c r="C2" s="1605"/>
      <c r="D2" s="1605"/>
      <c r="E2" s="1605"/>
      <c r="F2" s="1605"/>
      <c r="G2" s="1605"/>
      <c r="H2" s="1605"/>
      <c r="I2" s="1605"/>
      <c r="J2" s="1605"/>
      <c r="K2" s="1605"/>
      <c r="L2" s="1605"/>
      <c r="M2" s="1605"/>
      <c r="N2" s="1605"/>
      <c r="O2" s="1605"/>
      <c r="P2" s="1605"/>
      <c r="Q2" s="1605"/>
      <c r="R2" s="1605"/>
      <c r="S2" s="1605"/>
      <c r="T2" s="1605"/>
      <c r="U2" s="1605"/>
      <c r="V2" s="1605"/>
      <c r="W2" s="1605"/>
      <c r="X2" s="1605"/>
      <c r="Y2" s="1605"/>
      <c r="Z2" s="1605"/>
      <c r="AA2" s="1605"/>
      <c r="AB2" s="1605"/>
      <c r="AC2" s="1605"/>
      <c r="AD2" s="1605"/>
      <c r="AE2" s="1605"/>
      <c r="AF2" s="1605"/>
      <c r="AG2" s="1605"/>
      <c r="AH2" s="1605"/>
      <c r="AI2" s="1605"/>
      <c r="AJ2" s="1605"/>
    </row>
    <row r="3" spans="2:36" ht="21" customHeight="1" x14ac:dyDescent="0.25">
      <c r="B3" s="1605" t="s">
        <v>1</v>
      </c>
      <c r="C3" s="1605"/>
      <c r="D3" s="1605"/>
      <c r="E3" s="1605"/>
      <c r="F3" s="1605"/>
      <c r="G3" s="1605"/>
      <c r="H3" s="1605"/>
      <c r="I3" s="1605"/>
      <c r="J3" s="1605"/>
      <c r="K3" s="1605"/>
      <c r="L3" s="1605"/>
      <c r="M3" s="1605"/>
      <c r="N3" s="1605"/>
      <c r="O3" s="1605"/>
      <c r="P3" s="1605"/>
      <c r="Q3" s="1605"/>
      <c r="R3" s="1605"/>
      <c r="S3" s="1605"/>
      <c r="T3" s="1605"/>
      <c r="U3" s="1605"/>
      <c r="V3" s="1605"/>
      <c r="W3" s="1605"/>
      <c r="X3" s="1605"/>
      <c r="Y3" s="1605"/>
      <c r="Z3" s="1605"/>
      <c r="AA3" s="1605"/>
      <c r="AB3" s="1605"/>
      <c r="AC3" s="1605"/>
      <c r="AD3" s="1605"/>
      <c r="AE3" s="1605"/>
      <c r="AF3" s="1605"/>
      <c r="AG3" s="1605"/>
      <c r="AH3" s="1605"/>
      <c r="AI3" s="1605"/>
      <c r="AJ3" s="1605"/>
    </row>
    <row r="4" spans="2:36" ht="56.25" customHeight="1" x14ac:dyDescent="0.25">
      <c r="B4" s="1606" t="s">
        <v>773</v>
      </c>
      <c r="C4" s="1606"/>
      <c r="D4" s="1606"/>
      <c r="E4" s="1606"/>
      <c r="F4" s="1606"/>
      <c r="G4" s="1606"/>
      <c r="H4" s="1606"/>
      <c r="I4" s="1606"/>
      <c r="J4" s="1606"/>
      <c r="K4" s="1606"/>
      <c r="L4" s="1606"/>
      <c r="M4" s="1606"/>
      <c r="N4" s="1606"/>
      <c r="O4" s="1606"/>
      <c r="P4" s="1606"/>
      <c r="Q4" s="1606"/>
      <c r="R4" s="1606"/>
      <c r="S4" s="1606"/>
      <c r="T4" s="1606"/>
      <c r="U4" s="1606"/>
      <c r="V4" s="1606"/>
      <c r="W4" s="1606"/>
      <c r="X4" s="1606"/>
      <c r="Y4" s="1606"/>
      <c r="Z4" s="1606"/>
      <c r="AA4" s="1606"/>
      <c r="AB4" s="1566"/>
      <c r="AC4" s="1566"/>
      <c r="AD4" s="1566"/>
      <c r="AE4" s="1566"/>
      <c r="AF4" s="1566"/>
      <c r="AG4" s="1566"/>
      <c r="AH4" s="1566"/>
      <c r="AI4" s="1566"/>
      <c r="AJ4" s="1566"/>
    </row>
    <row r="5" spans="2:36" ht="21" customHeight="1" x14ac:dyDescent="0.25">
      <c r="B5" s="1605" t="s">
        <v>732</v>
      </c>
      <c r="C5" s="1605"/>
      <c r="D5" s="1605"/>
      <c r="E5" s="1605"/>
      <c r="F5" s="1605"/>
      <c r="G5" s="1605"/>
      <c r="H5" s="1605"/>
      <c r="I5" s="1605"/>
      <c r="J5" s="1605"/>
      <c r="K5" s="1605"/>
      <c r="L5" s="1605"/>
      <c r="M5" s="1605"/>
      <c r="N5" s="1605"/>
      <c r="O5" s="1605"/>
      <c r="P5" s="1605"/>
      <c r="Q5" s="1605"/>
      <c r="R5" s="1605"/>
      <c r="S5" s="1605"/>
      <c r="T5" s="1605"/>
      <c r="U5" s="1605"/>
      <c r="V5" s="1605"/>
      <c r="W5" s="1605"/>
      <c r="X5" s="1605"/>
      <c r="Y5" s="1605"/>
      <c r="Z5" s="1605"/>
      <c r="AA5" s="1605"/>
      <c r="AB5" s="1605"/>
      <c r="AC5" s="1605"/>
      <c r="AD5" s="1605"/>
      <c r="AE5" s="1605"/>
      <c r="AF5" s="1605"/>
      <c r="AG5" s="1605"/>
      <c r="AH5" s="1605"/>
      <c r="AI5" s="1605"/>
      <c r="AJ5" s="1605"/>
    </row>
    <row r="6" spans="2:36" ht="21" customHeight="1" x14ac:dyDescent="0.25">
      <c r="B6" s="1605" t="s">
        <v>4</v>
      </c>
      <c r="C6" s="1605"/>
      <c r="D6" s="1605"/>
      <c r="E6" s="1605"/>
      <c r="F6" s="1605"/>
      <c r="G6" s="1605"/>
      <c r="H6" s="1605"/>
      <c r="I6" s="1605"/>
      <c r="J6" s="1605"/>
      <c r="K6" s="1605"/>
      <c r="L6" s="1605"/>
      <c r="M6" s="1605"/>
      <c r="N6" s="1605"/>
      <c r="O6" s="1605"/>
      <c r="P6" s="1605"/>
      <c r="Q6" s="1605"/>
      <c r="R6" s="1605"/>
      <c r="S6" s="1605"/>
      <c r="T6" s="1605"/>
      <c r="U6" s="1605"/>
      <c r="V6" s="1605"/>
      <c r="W6" s="1605"/>
      <c r="X6" s="1605"/>
      <c r="Y6" s="1605"/>
      <c r="Z6" s="1605"/>
      <c r="AA6" s="1605"/>
      <c r="AB6" s="1605"/>
      <c r="AC6" s="1605"/>
      <c r="AD6" s="1605"/>
      <c r="AE6" s="1605"/>
      <c r="AF6" s="1605"/>
      <c r="AG6" s="1605"/>
      <c r="AH6" s="1605"/>
      <c r="AI6" s="1605"/>
      <c r="AJ6" s="1605"/>
    </row>
    <row r="7" spans="2:36" s="151" customFormat="1" ht="34.5" customHeight="1" x14ac:dyDescent="0.25">
      <c r="B7" s="1598" t="s">
        <v>767</v>
      </c>
      <c r="C7" s="1485"/>
      <c r="D7" s="1598" t="s">
        <v>741</v>
      </c>
      <c r="E7" s="1600" t="s">
        <v>742</v>
      </c>
      <c r="F7" s="1485"/>
      <c r="G7" s="1602" t="s">
        <v>760</v>
      </c>
      <c r="H7" s="1603"/>
      <c r="I7" s="1604"/>
      <c r="J7" s="1602" t="s">
        <v>76</v>
      </c>
      <c r="K7" s="1603"/>
      <c r="L7" s="1604"/>
      <c r="M7" s="1597" t="s">
        <v>60</v>
      </c>
      <c r="N7" s="1597"/>
      <c r="O7" s="1597"/>
      <c r="P7" s="1597" t="s">
        <v>738</v>
      </c>
      <c r="Q7" s="1597"/>
      <c r="R7" s="1597"/>
      <c r="S7" s="1597" t="s">
        <v>739</v>
      </c>
      <c r="T7" s="1597"/>
      <c r="U7" s="1597"/>
      <c r="V7" s="1597" t="s">
        <v>736</v>
      </c>
      <c r="W7" s="1597"/>
      <c r="X7" s="1597"/>
      <c r="Y7" s="1597" t="s">
        <v>737</v>
      </c>
      <c r="Z7" s="1597"/>
      <c r="AA7" s="1597"/>
      <c r="AB7" s="1597" t="s">
        <v>63</v>
      </c>
      <c r="AC7" s="1597"/>
      <c r="AD7" s="1597"/>
      <c r="AE7" s="1597" t="s">
        <v>64</v>
      </c>
      <c r="AF7" s="1597"/>
      <c r="AG7" s="1597"/>
      <c r="AH7" s="1597" t="s">
        <v>735</v>
      </c>
      <c r="AI7" s="1597"/>
      <c r="AJ7" s="1597"/>
    </row>
    <row r="8" spans="2:36" s="14" customFormat="1" ht="34.5" customHeight="1" x14ac:dyDescent="0.25">
      <c r="B8" s="1599"/>
      <c r="C8" s="1487"/>
      <c r="D8" s="1599"/>
      <c r="E8" s="1601"/>
      <c r="F8" s="1487"/>
      <c r="G8" s="1488" t="s">
        <v>733</v>
      </c>
      <c r="H8" s="1489" t="s">
        <v>734</v>
      </c>
      <c r="I8" s="1490" t="s">
        <v>740</v>
      </c>
      <c r="J8" s="1491" t="s">
        <v>733</v>
      </c>
      <c r="K8" s="1491" t="s">
        <v>734</v>
      </c>
      <c r="L8" s="1491" t="s">
        <v>740</v>
      </c>
      <c r="M8" s="1492" t="s">
        <v>733</v>
      </c>
      <c r="N8" s="1493" t="s">
        <v>734</v>
      </c>
      <c r="O8" s="1493" t="s">
        <v>740</v>
      </c>
      <c r="P8" s="1492" t="s">
        <v>733</v>
      </c>
      <c r="Q8" s="1493" t="s">
        <v>734</v>
      </c>
      <c r="R8" s="1493" t="s">
        <v>740</v>
      </c>
      <c r="S8" s="1492" t="s">
        <v>733</v>
      </c>
      <c r="T8" s="1493" t="s">
        <v>734</v>
      </c>
      <c r="U8" s="1493" t="s">
        <v>740</v>
      </c>
      <c r="V8" s="1492" t="s">
        <v>733</v>
      </c>
      <c r="W8" s="1493" t="s">
        <v>734</v>
      </c>
      <c r="X8" s="1493" t="s">
        <v>740</v>
      </c>
      <c r="Y8" s="1492" t="s">
        <v>733</v>
      </c>
      <c r="Z8" s="1493" t="s">
        <v>734</v>
      </c>
      <c r="AA8" s="1578" t="s">
        <v>740</v>
      </c>
      <c r="AB8" s="1486" t="s">
        <v>733</v>
      </c>
      <c r="AC8" s="1520" t="s">
        <v>734</v>
      </c>
      <c r="AD8" s="1522" t="s">
        <v>740</v>
      </c>
      <c r="AE8" s="1521" t="s">
        <v>733</v>
      </c>
      <c r="AF8" s="1493" t="s">
        <v>734</v>
      </c>
      <c r="AG8" s="1493" t="s">
        <v>740</v>
      </c>
      <c r="AH8" s="1492" t="s">
        <v>733</v>
      </c>
      <c r="AI8" s="1489" t="s">
        <v>734</v>
      </c>
      <c r="AJ8" s="1522" t="s">
        <v>740</v>
      </c>
    </row>
    <row r="9" spans="2:36" s="14" customFormat="1" ht="6" customHeight="1" x14ac:dyDescent="0.25">
      <c r="B9" s="1494"/>
      <c r="C9" s="1494"/>
      <c r="D9" s="1495"/>
      <c r="E9" s="1496"/>
      <c r="F9" s="1494"/>
      <c r="G9" s="1494"/>
      <c r="H9" s="1497"/>
      <c r="I9" s="1494"/>
      <c r="J9" s="1494"/>
      <c r="K9" s="1494"/>
      <c r="L9" s="1494"/>
      <c r="M9" s="1494"/>
      <c r="N9" s="1494"/>
      <c r="O9" s="1494"/>
      <c r="P9" s="1494"/>
      <c r="Q9" s="1494"/>
      <c r="R9" s="1494"/>
      <c r="S9" s="1494"/>
      <c r="T9" s="1494"/>
      <c r="U9" s="1494"/>
      <c r="V9" s="1498"/>
      <c r="W9" s="1494"/>
      <c r="X9" s="1494"/>
      <c r="Y9" s="1494"/>
      <c r="Z9" s="1494"/>
      <c r="AA9" s="1494"/>
      <c r="AB9" s="1494"/>
      <c r="AC9" s="1494"/>
      <c r="AD9" s="1494"/>
      <c r="AE9" s="1494"/>
      <c r="AF9" s="1494"/>
      <c r="AG9" s="1494"/>
      <c r="AH9" s="1494"/>
      <c r="AI9" s="1494"/>
      <c r="AJ9" s="1494"/>
    </row>
    <row r="10" spans="2:36" s="1499" customFormat="1" ht="24" customHeight="1" x14ac:dyDescent="0.25">
      <c r="B10" s="1524" t="s">
        <v>17</v>
      </c>
      <c r="C10" s="1525"/>
      <c r="D10" s="1526">
        <f>G10+AB10+AE10+AH10</f>
        <v>11059579210.6</v>
      </c>
      <c r="E10" s="1527">
        <f>((G10*H10)+(AB10*AC10)+(AE10*AF10)+(AH10*AI10))/D10</f>
        <v>4.65E-2</v>
      </c>
      <c r="F10" s="1525"/>
      <c r="G10" s="1528">
        <f>G12+G16+G24+G26+G33</f>
        <v>9084776454.4500008</v>
      </c>
      <c r="H10" s="1529">
        <f>((G12*H12)+(G16*H16)+(G24*H24)+(G26*H26)+(G33*H33))/G10</f>
        <v>4.7100000000000003E-2</v>
      </c>
      <c r="I10" s="1530">
        <f>(($J$12*I12)+($J$16*I16)+($J$24*I24)+($J$26*I26)+($J$33*I33))/$J10</f>
        <v>6.15</v>
      </c>
      <c r="J10" s="1528">
        <f>J12+J16+J24+J26+J33</f>
        <v>548856782.88999999</v>
      </c>
      <c r="K10" s="1529">
        <f>(($J$12*K12)+($J$16*K16)+($J$24*K24)+($J$26*K26)+($J$33*K33))/$J10</f>
        <v>3.5200000000000002E-2</v>
      </c>
      <c r="L10" s="1530">
        <f>(($J$12*L12)+($J$16*L16)+($J$24*L24)+($J$26*L26)+($J$33*L33))/$J10</f>
        <v>2.2000000000000002</v>
      </c>
      <c r="M10" s="1528">
        <f>M12+M16+M24+M26+M33</f>
        <v>8535919671.5600004</v>
      </c>
      <c r="N10" s="1529">
        <f>((M12*N12)+(M16*N16)+(M24*N24)+(M26*N26)+(M33*N33))/M10</f>
        <v>4.7899999999999998E-2</v>
      </c>
      <c r="O10" s="1530">
        <f>(($M$12*O12)+($M$16*O16)+($M$24*O24)+($M$26*O26)+($M$33*O33))/$M10</f>
        <v>10.35</v>
      </c>
      <c r="P10" s="1528">
        <f>P12+P16+P24+P26+P33</f>
        <v>2910389428.27</v>
      </c>
      <c r="Q10" s="1531">
        <f>((P12*Q12)+(P16*Q16)+(P24*Q24)+(P26*Q26)+(P33*Q33))/P10</f>
        <v>4.9399999999999999E-2</v>
      </c>
      <c r="R10" s="1530">
        <f>(($P$12*R12)+($P$16*R16)+($P$24*R24)+($P$26*R26)+($P$33*R33))/$P10</f>
        <v>10.87</v>
      </c>
      <c r="S10" s="1528">
        <f>S12+S16+S24+S26+S33</f>
        <v>5414285592.8199997</v>
      </c>
      <c r="T10" s="1529">
        <f>((S12*T12)+(S16*T16)+(S24*T24)+(S26*T26)+(S33*T33))/S10</f>
        <v>4.7E-2</v>
      </c>
      <c r="U10" s="1530">
        <f>(($S$12*U12)+($S$16*U16)+($S$24*U24)+($S$26*U26)+($S$33*U33))/$S10</f>
        <v>10.25</v>
      </c>
      <c r="V10" s="1528">
        <f>V12+V16+V24+V26+V33</f>
        <v>197711916.50999999</v>
      </c>
      <c r="W10" s="1529">
        <f>((V12*W12)+(V16*W16)+(V24*W24)+(V26*W26)+(V33*W33))/V10</f>
        <v>5.0799999999999998E-2</v>
      </c>
      <c r="X10" s="1530">
        <f>(($V$12*X12)+($V$16*X16)+($V$24*X24)+($V$26*X26)+($V$33*X33))/$V10</f>
        <v>5.73</v>
      </c>
      <c r="Y10" s="1528">
        <f>Y12+Y16+Y24+Y26+Y33</f>
        <v>13532733.960000001</v>
      </c>
      <c r="Z10" s="1529">
        <f>((Y12*Z12)+(Y16*Z16)+(Y24*Z24)+(Y26*Z26)+(Y33*Z33))/Y10</f>
        <v>4.58E-2</v>
      </c>
      <c r="AA10" s="1530">
        <f>(($Y$12*AA12)+($Y$16*AA16)+($Y$24*AA24)+($Y$26*AA26)+($Y$33*AA33))/$Y10</f>
        <v>7.19</v>
      </c>
      <c r="AB10" s="1528">
        <f>AB12+AB16+AB24+AB26+AB33</f>
        <v>111459363.29000001</v>
      </c>
      <c r="AC10" s="1529">
        <f>((AB12*AC12)+(AB16*AC16)+(AB24*AC24)+(AB26*AC26)+(AB33*AC33))/AB10</f>
        <v>4.1500000000000002E-2</v>
      </c>
      <c r="AD10" s="1530">
        <f>(($AB$12*AD12)+($AB$16*AD16)+($AB$24*AD24)+($AB$26*AD26)+($AB$33*AD33))/$AB10</f>
        <v>3.8</v>
      </c>
      <c r="AE10" s="1528">
        <f>AE12+AE16+AE24+AE26+AE33</f>
        <v>1128798677.9100001</v>
      </c>
      <c r="AF10" s="1529">
        <f>((AE12*AF12)+(AE16*AF16)+(AE24*AF24)+(AE26*AF26)+(AE33*AF33))/AE10</f>
        <v>3.8899999999999997E-2</v>
      </c>
      <c r="AG10" s="1530">
        <f>(($AE$12*AG12)+($AE$16*AG16)+($AE$24*AG24)+($AE$26*AG26)+($AE$33*AG33))/$AE10</f>
        <v>1.01</v>
      </c>
      <c r="AH10" s="1528">
        <f>AH12+AH16+AH24+AH26+AH33</f>
        <v>734544714.95000005</v>
      </c>
      <c r="AI10" s="1529">
        <f>((AH12*AI12)+(AH16*AI16)+(AH24*AI24)+(AH26*AI26)+(AH33*AI33))/AH10</f>
        <v>5.0999999999999997E-2</v>
      </c>
      <c r="AJ10" s="1530">
        <f>(($AH$12*AJ12)+($AH$16*AJ16)+($AH$24*AJ24)+($AH$26*AJ26)+($AH$33*AJ33))/$AH10</f>
        <v>1.21</v>
      </c>
    </row>
    <row r="11" spans="2:36" s="14" customFormat="1" ht="6" customHeight="1" x14ac:dyDescent="0.25">
      <c r="B11" s="1532"/>
      <c r="C11" s="1532"/>
      <c r="D11" s="1533"/>
      <c r="E11" s="1534"/>
      <c r="F11" s="1532"/>
      <c r="G11" s="1532"/>
      <c r="H11" s="1535"/>
      <c r="I11" s="1535"/>
      <c r="J11" s="1532"/>
      <c r="K11" s="1535"/>
      <c r="L11" s="1535"/>
      <c r="M11" s="1532"/>
      <c r="N11" s="1535"/>
      <c r="O11" s="1535"/>
      <c r="P11" s="1535"/>
      <c r="Q11" s="1536"/>
      <c r="R11" s="1535"/>
      <c r="S11" s="1532"/>
      <c r="T11" s="1535"/>
      <c r="U11" s="1535"/>
      <c r="V11" s="1537"/>
      <c r="W11" s="1535"/>
      <c r="X11" s="1535"/>
      <c r="Y11" s="1532"/>
      <c r="Z11" s="1535"/>
      <c r="AA11" s="1535"/>
      <c r="AB11" s="1532"/>
      <c r="AC11" s="1535"/>
      <c r="AD11" s="1535"/>
      <c r="AE11" s="1532"/>
      <c r="AF11" s="1535"/>
      <c r="AG11" s="1535"/>
      <c r="AH11" s="1532"/>
      <c r="AI11" s="1535"/>
      <c r="AJ11" s="1535"/>
    </row>
    <row r="12" spans="2:36" s="147" customFormat="1" ht="31.5" customHeight="1" x14ac:dyDescent="0.25">
      <c r="B12" s="1565" t="s">
        <v>762</v>
      </c>
      <c r="C12" s="1500"/>
      <c r="D12" s="1538">
        <f>SUM(D13:D14)</f>
        <v>6646104389.3699999</v>
      </c>
      <c r="E12" s="1539">
        <f>((D13*E13)+(D14*E14))/D12</f>
        <v>4.58E-2</v>
      </c>
      <c r="F12" s="1500"/>
      <c r="G12" s="1538">
        <f>SUM(G13:G14)</f>
        <v>4784578598.8299999</v>
      </c>
      <c r="H12" s="1540">
        <f>((G13*H13)+(G14*H14))/G12</f>
        <v>4.7E-2</v>
      </c>
      <c r="I12" s="1541">
        <f>((G13*I13)+(G14*I14))/G12</f>
        <v>5.43</v>
      </c>
      <c r="J12" s="1538">
        <f t="shared" ref="J12:S12" si="0">SUM(J13:J14)</f>
        <v>512927528.72000003</v>
      </c>
      <c r="K12" s="1540">
        <f>((J13*K13)+(J14*K14))/J12</f>
        <v>3.49E-2</v>
      </c>
      <c r="L12" s="1541">
        <f>((J13*L13)+(J14*L14))/J12</f>
        <v>1.03</v>
      </c>
      <c r="M12" s="1538">
        <f>SUM(M13:M14)</f>
        <v>4271651070.1100001</v>
      </c>
      <c r="N12" s="1540">
        <f>((M13*N13)+(M14*N14))/M12</f>
        <v>4.8500000000000001E-2</v>
      </c>
      <c r="O12" s="1541">
        <f>((M13*O13)+(M14*O14))/M12</f>
        <v>5.97</v>
      </c>
      <c r="P12" s="1541">
        <f t="shared" si="0"/>
        <v>1517758102.45</v>
      </c>
      <c r="Q12" s="1540">
        <f>((P13*Q13)+(P14*Q14))/P12</f>
        <v>5.0299999999999997E-2</v>
      </c>
      <c r="R12" s="1541">
        <f>((P13*R13)+(P14*R14))/P12</f>
        <v>6.37</v>
      </c>
      <c r="S12" s="1538">
        <f t="shared" si="0"/>
        <v>2635470165.5999999</v>
      </c>
      <c r="T12" s="1540">
        <f>((S13*T13)+(S14*T14))/S12</f>
        <v>4.7399999999999998E-2</v>
      </c>
      <c r="U12" s="1541">
        <f>((S13*U13)+(S14*U14))/S12</f>
        <v>5.71</v>
      </c>
      <c r="V12" s="1538">
        <f>SUM(V13:V14)</f>
        <v>108019303.34999999</v>
      </c>
      <c r="W12" s="1540">
        <f>((V13*W13)+(V14*W14))/V12</f>
        <v>4.9599999999999998E-2</v>
      </c>
      <c r="X12" s="1541">
        <f>((V13*X13)+(V14*X14))/V12</f>
        <v>6.34</v>
      </c>
      <c r="Y12" s="1538">
        <f>SUM(Y13:Y14)</f>
        <v>10403498.710000001</v>
      </c>
      <c r="Z12" s="1540">
        <f>((Y13*Z13)+(Y14*Z14))/Y12</f>
        <v>4.8000000000000001E-2</v>
      </c>
      <c r="AA12" s="1541">
        <f>((Y13*AA13)+(Y14*AA14))/Y12</f>
        <v>6.46</v>
      </c>
      <c r="AB12" s="1538">
        <f>SUM(AB13:AB14)</f>
        <v>81801953.790000007</v>
      </c>
      <c r="AC12" s="1540">
        <f>((AB13*AC13)+(AB14*AC14))/AB12</f>
        <v>3.3500000000000002E-2</v>
      </c>
      <c r="AD12" s="1541">
        <f>((AB13*AD13)+(AB14*AD14))/AB12</f>
        <v>1.1000000000000001</v>
      </c>
      <c r="AE12" s="1538">
        <f t="shared" ref="AE12:AH12" si="1">SUM(AE13:AE14)</f>
        <v>1076875138.8</v>
      </c>
      <c r="AF12" s="1540">
        <f>((AE13*AF13)+(AE14*AF14))/AE12</f>
        <v>3.7999999999999999E-2</v>
      </c>
      <c r="AG12" s="1541">
        <f>((AE13*AG13)+(AE14*AG14))/AE12</f>
        <v>1.02</v>
      </c>
      <c r="AH12" s="1538">
        <f t="shared" si="1"/>
        <v>702848697.95000005</v>
      </c>
      <c r="AI12" s="1540">
        <f>((AH13*AI13)+(AH14*AI14))/AH12</f>
        <v>5.0599999999999999E-2</v>
      </c>
      <c r="AJ12" s="1541">
        <f>((AH13*AJ13)+(AH14*AJ14))/AH12</f>
        <v>1.2</v>
      </c>
    </row>
    <row r="13" spans="2:36" s="1475" customFormat="1" ht="18" customHeight="1" x14ac:dyDescent="0.25">
      <c r="B13" s="1476" t="s">
        <v>743</v>
      </c>
      <c r="C13" s="1500"/>
      <c r="D13" s="1506">
        <f>G13+AB13+AE13+AH13</f>
        <v>3805241890.71</v>
      </c>
      <c r="E13" s="1523">
        <f>((G13*H13)+(AB13*AC13)+(AE13*AF13)+(AH13*AI13))/D13</f>
        <v>4.2999999999999997E-2</v>
      </c>
      <c r="F13" s="1500"/>
      <c r="G13" s="1506">
        <f>J13+M13</f>
        <v>2487388357.3600001</v>
      </c>
      <c r="H13" s="1479">
        <f>((J13*K13)+(M13*N13))/G13</f>
        <v>4.3299999999999998E-2</v>
      </c>
      <c r="I13" s="1506">
        <f>((J13*L13)+(M13*O13))/G13</f>
        <v>4.28</v>
      </c>
      <c r="J13" s="1506">
        <v>437755095.89999998</v>
      </c>
      <c r="K13" s="1479">
        <v>3.2500000000000001E-2</v>
      </c>
      <c r="L13" s="1506">
        <v>0.14000000000000001</v>
      </c>
      <c r="M13" s="1506">
        <f>P13+S13+V13+Y13</f>
        <v>2049633261.46</v>
      </c>
      <c r="N13" s="1479">
        <f>((P13*Q13)+(S13*T13)+(V13*W13)+(Y13*Z13))/M13</f>
        <v>4.5600000000000002E-2</v>
      </c>
      <c r="O13" s="1506">
        <f>((P13*R13)+(S13*U13)+(V13*X13)+(Y13*AA13))/M13</f>
        <v>5.17</v>
      </c>
      <c r="P13" s="1506">
        <v>564231757.36000001</v>
      </c>
      <c r="Q13" s="1479">
        <v>4.6199999999999998E-2</v>
      </c>
      <c r="R13" s="1542">
        <v>6.92</v>
      </c>
      <c r="S13" s="1506">
        <v>1434753407.8699999</v>
      </c>
      <c r="T13" s="1479">
        <v>4.5499999999999999E-2</v>
      </c>
      <c r="U13" s="1506">
        <v>4.4000000000000004</v>
      </c>
      <c r="V13" s="1506">
        <v>46772375.689999998</v>
      </c>
      <c r="W13" s="1479">
        <v>4.3799999999999999E-2</v>
      </c>
      <c r="X13" s="1506">
        <v>7.59</v>
      </c>
      <c r="Y13" s="1506">
        <v>3875720.54</v>
      </c>
      <c r="Z13" s="1479">
        <v>3.8899999999999997E-2</v>
      </c>
      <c r="AA13" s="1506">
        <v>5.86</v>
      </c>
      <c r="AB13" s="1506">
        <v>50994044.32</v>
      </c>
      <c r="AC13" s="1479">
        <v>3.1099999999999999E-2</v>
      </c>
      <c r="AD13" s="1506">
        <v>1.5</v>
      </c>
      <c r="AE13" s="1506">
        <v>617566092.32000005</v>
      </c>
      <c r="AF13" s="1479">
        <v>3.5099999999999999E-2</v>
      </c>
      <c r="AG13" s="1506">
        <v>0.5</v>
      </c>
      <c r="AH13" s="1506">
        <f>+[7]ADMINISTRACIÓN!$I$11</f>
        <v>649293396.71000004</v>
      </c>
      <c r="AI13" s="1479">
        <v>5.04E-2</v>
      </c>
      <c r="AJ13" s="1506">
        <v>1.23</v>
      </c>
    </row>
    <row r="14" spans="2:36" s="1475" customFormat="1" ht="18" customHeight="1" x14ac:dyDescent="0.25">
      <c r="B14" s="1476" t="s">
        <v>744</v>
      </c>
      <c r="C14" s="1500"/>
      <c r="D14" s="1506">
        <f>G14+AB14+AE14+AH14</f>
        <v>2840862498.6599998</v>
      </c>
      <c r="E14" s="1523">
        <f>((G14*H14)+(AB14*AC14)+(AE14*AF14)+(AH14*AI14))/D14</f>
        <v>4.9500000000000002E-2</v>
      </c>
      <c r="F14" s="1500"/>
      <c r="G14" s="1506">
        <f>J14+M14</f>
        <v>2297190241.4699998</v>
      </c>
      <c r="H14" s="1479">
        <f>((J14*K14)+(M14*N14))/G14</f>
        <v>5.11E-2</v>
      </c>
      <c r="I14" s="1506">
        <f>((J14*L14)+(M14*O14))/G14</f>
        <v>6.68</v>
      </c>
      <c r="J14" s="1506">
        <v>75172432.819999993</v>
      </c>
      <c r="K14" s="1479">
        <v>4.9000000000000002E-2</v>
      </c>
      <c r="L14" s="1506">
        <v>6.18</v>
      </c>
      <c r="M14" s="1506">
        <f>P14+S14+V14+Y14</f>
        <v>2222017808.6500001</v>
      </c>
      <c r="N14" s="1479">
        <f>((P14*Q14)+(S14*T14)+(V14*W14)+(Y14*Z14))/M14</f>
        <v>5.1200000000000002E-2</v>
      </c>
      <c r="O14" s="1506">
        <f>((P14*R14)+(S14*U14)+(V14*X14)+(Y14*AA14))/M14</f>
        <v>6.7</v>
      </c>
      <c r="P14" s="1506">
        <v>953526345.09000003</v>
      </c>
      <c r="Q14" s="1479">
        <v>5.28E-2</v>
      </c>
      <c r="R14" s="1542">
        <v>6.05</v>
      </c>
      <c r="S14" s="1506">
        <v>1200716757.73</v>
      </c>
      <c r="T14" s="1479">
        <v>4.9700000000000001E-2</v>
      </c>
      <c r="U14" s="1506">
        <v>7.28</v>
      </c>
      <c r="V14" s="1506">
        <v>61246927.659999996</v>
      </c>
      <c r="W14" s="1479">
        <v>5.4100000000000002E-2</v>
      </c>
      <c r="X14" s="1506">
        <v>5.39</v>
      </c>
      <c r="Y14" s="1506">
        <v>6527778.1699999999</v>
      </c>
      <c r="Z14" s="1479">
        <v>5.3400000000000003E-2</v>
      </c>
      <c r="AA14" s="1506">
        <v>6.82</v>
      </c>
      <c r="AB14" s="1506">
        <v>30807909.469999999</v>
      </c>
      <c r="AC14" s="1479">
        <v>3.7600000000000001E-2</v>
      </c>
      <c r="AD14" s="1506">
        <v>0.45</v>
      </c>
      <c r="AE14" s="1506">
        <v>459309046.48000002</v>
      </c>
      <c r="AF14" s="1479">
        <v>4.1799999999999997E-2</v>
      </c>
      <c r="AG14" s="1506">
        <v>1.71</v>
      </c>
      <c r="AH14" s="1543">
        <v>53555301.240000002</v>
      </c>
      <c r="AI14" s="1480">
        <v>5.2600000000000001E-2</v>
      </c>
      <c r="AJ14" s="1506">
        <v>0.84</v>
      </c>
    </row>
    <row r="15" spans="2:36" s="151" customFormat="1" ht="6" customHeight="1" x14ac:dyDescent="0.25">
      <c r="B15" s="1476"/>
      <c r="C15" s="1511"/>
      <c r="D15" s="1504"/>
      <c r="E15" s="1507"/>
      <c r="F15" s="1511"/>
      <c r="G15" s="1506"/>
      <c r="H15" s="1479"/>
      <c r="I15" s="1479"/>
      <c r="J15" s="1506"/>
      <c r="K15" s="1479"/>
      <c r="L15" s="1479"/>
      <c r="M15" s="1506"/>
      <c r="N15" s="1479"/>
      <c r="O15" s="1479"/>
      <c r="P15" s="1479"/>
      <c r="Q15" s="1479"/>
      <c r="R15" s="1480"/>
      <c r="S15" s="1506"/>
      <c r="T15" s="1479"/>
      <c r="U15" s="1479"/>
      <c r="V15" s="1506"/>
      <c r="W15" s="1479"/>
      <c r="X15" s="1479"/>
      <c r="Y15" s="1506"/>
      <c r="Z15" s="1479"/>
      <c r="AA15" s="1479"/>
      <c r="AB15" s="1506"/>
      <c r="AC15" s="1479"/>
      <c r="AD15" s="1479"/>
      <c r="AE15" s="1506"/>
      <c r="AF15" s="1479"/>
      <c r="AG15" s="1479"/>
      <c r="AH15" s="1506"/>
      <c r="AI15" s="1479"/>
      <c r="AJ15" s="1479"/>
    </row>
    <row r="16" spans="2:36" s="147" customFormat="1" ht="18" customHeight="1" x14ac:dyDescent="0.25">
      <c r="B16" s="1502" t="s">
        <v>745</v>
      </c>
      <c r="C16" s="1500"/>
      <c r="D16" s="1544">
        <f>SUM(D17:D22)</f>
        <v>3552468690.1900001</v>
      </c>
      <c r="E16" s="1545">
        <f>((D17*E17)+(D18*E18)+(D19*E19)+(D20*E20)+(D21*E21)+(D22*E22))/D16</f>
        <v>4.7600000000000003E-2</v>
      </c>
      <c r="F16" s="1500"/>
      <c r="G16" s="1544">
        <f>SUM(G17:G22)</f>
        <v>3522811280.6900001</v>
      </c>
      <c r="H16" s="1546">
        <f>((G17*H17)+(G18*H18)+(G19*H19)+(G20*H20)+(G21*H21)+(G22*H22))/G16</f>
        <v>4.7399999999999998E-2</v>
      </c>
      <c r="I16" s="1547">
        <f>((G17*I17)+(G18*I18+G19*I19+G20*I20+G21*I21+G22*I22))/G16</f>
        <v>16.43</v>
      </c>
      <c r="J16" s="1544">
        <f>SUM(J17:J22)</f>
        <v>35929254.170000002</v>
      </c>
      <c r="K16" s="1546">
        <f>(($J$17*K17)+($J$18*K18)+($J$19*K19)+($J$20*K20)+($J$21*K21)+($J$22*K22))/$J16</f>
        <v>4.0099999999999997E-2</v>
      </c>
      <c r="L16" s="1548">
        <f>(($J$17*L17)+($J$18*L18)+($J$19*L19)+($J$20*L20)+($J$21*L21)+($J$22*L22))/$J16</f>
        <v>18.850000000000001</v>
      </c>
      <c r="M16" s="1544">
        <f>SUM(M17:M22)</f>
        <v>3486882026.52</v>
      </c>
      <c r="N16" s="1546">
        <f>((M17*N17)+(M18*N18)+(M19*N19)+(M20*N20)+(M21*N21)+(M22*N22))/M16</f>
        <v>4.7500000000000001E-2</v>
      </c>
      <c r="O16" s="1548">
        <f>(($M$17*O17)+($M$18*O18)+($M$19*O19)+($M$20*O20)+($M$21*O21)+($M$22*O22))/$M16</f>
        <v>16.41</v>
      </c>
      <c r="P16" s="1548">
        <f>SUM(P17:P22)</f>
        <v>1125743427.7</v>
      </c>
      <c r="Q16" s="1546">
        <f>((P17*Q17)+(P18*Q18)+(P19*Q19)+(P20*Q20)+(P21*Q21)+(P22*Q22))/P16</f>
        <v>4.9399999999999999E-2</v>
      </c>
      <c r="R16" s="1548">
        <f>(($P$17*R17)+($P$18*R18)+($P$19*R19)+($P$20*R20)+($P$21*R21)+($P$22*R22))/$P16</f>
        <v>17.73</v>
      </c>
      <c r="S16" s="1544">
        <f>SUM(S17:S22)</f>
        <v>2322973397.8600001</v>
      </c>
      <c r="T16" s="1546">
        <f>((S17*T17)+(S18*T18)+(S19*T19)+(S20*T20)+(S21*T21)+(S22*T22))/S16</f>
        <v>4.6800000000000001E-2</v>
      </c>
      <c r="U16" s="1548">
        <f>(($S$17*U17)+($S$18*U18)+($S$19*U19)+($S$20*U20)+($S$21*U21)+($S$22*U22))/$S16</f>
        <v>15.87</v>
      </c>
      <c r="V16" s="1544">
        <f>SUM(V17:V22)</f>
        <v>35428881.030000001</v>
      </c>
      <c r="W16" s="1546">
        <f>((V17*W17)+(V18*W18)+(V19*W19)+(V20*W20)+(V21*W21)+(V22*W22))/V16</f>
        <v>3.4799999999999998E-2</v>
      </c>
      <c r="X16" s="1548">
        <f>(($V$17*X17)+($V$18*X18)+($V$19*X19)+($V$20*X20)+($V$21*X21)+($V$22*X22))/$V16</f>
        <v>10.18</v>
      </c>
      <c r="Y16" s="1544">
        <f>SUM(Y17:Y22)</f>
        <v>2736319.93</v>
      </c>
      <c r="Z16" s="1546">
        <f>((Y17*Z17)+(Y18*Z18)+(Y19*Z19)+(Y20*Z20)+(Y21*Z21)+(Y22*Z22))/Y16</f>
        <v>3.5999999999999997E-2</v>
      </c>
      <c r="AA16" s="1548">
        <f>(($Y$17*AA17)+($Y$18*AA18)+($Y$19*AA19)+($Y$20*AA20)+($Y$21*AA21)+($Y$22*AA22))/$Y16</f>
        <v>10.87</v>
      </c>
      <c r="AB16" s="1544">
        <f>SUM(AB17:AB22)</f>
        <v>29657409.5</v>
      </c>
      <c r="AC16" s="1546">
        <f>(((AB17*AC17)+(AB18*AC18)+(AB19*AC19)+(AB20*AC20)+(AB21*AC21)+(AB22*AC22))/AB16)</f>
        <v>6.3700000000000007E-2</v>
      </c>
      <c r="AD16" s="1548">
        <f>(($AB$17*AD17)+($AB$18*AD18)+($AB$19*AD19)+($AB$20*AD20)+($AB$21*AD21)+($AB$22*AD22))/$AB16</f>
        <v>11.25</v>
      </c>
      <c r="AE16" s="1544">
        <f>SUM(AE17:AE22)</f>
        <v>0</v>
      </c>
      <c r="AF16" s="1546">
        <v>0</v>
      </c>
      <c r="AG16" s="1548">
        <v>0</v>
      </c>
      <c r="AH16" s="1544">
        <f>SUM(AH17:AH22)</f>
        <v>0</v>
      </c>
      <c r="AI16" s="1546">
        <v>0</v>
      </c>
      <c r="AJ16" s="1548">
        <v>0</v>
      </c>
    </row>
    <row r="17" spans="2:36" s="147" customFormat="1" ht="18" customHeight="1" x14ac:dyDescent="0.25">
      <c r="B17" s="1476" t="s">
        <v>746</v>
      </c>
      <c r="C17" s="1500"/>
      <c r="D17" s="1506">
        <f>G17+AB17+AE17+AH17</f>
        <v>26359200</v>
      </c>
      <c r="E17" s="1523">
        <f t="shared" ref="E17:E24" si="2">((G17*H17)+(AB17*AC17)+(AE17*AF17)+(AH17*AI17))/D17</f>
        <v>6.54E-2</v>
      </c>
      <c r="F17" s="1511"/>
      <c r="G17" s="1506">
        <f>J17+M17</f>
        <v>26359200</v>
      </c>
      <c r="H17" s="1479">
        <f>((J17*K17)+(M17*N17))/G17</f>
        <v>6.54E-2</v>
      </c>
      <c r="I17" s="1506">
        <f t="shared" ref="I17:I22" si="3">((J17*L17)+(M17*O17))/G17</f>
        <v>0.79</v>
      </c>
      <c r="J17" s="1506">
        <v>0</v>
      </c>
      <c r="K17" s="1479">
        <v>0</v>
      </c>
      <c r="L17" s="1506">
        <v>0</v>
      </c>
      <c r="M17" s="1506">
        <f t="shared" ref="M17:M22" si="4">P17+S17+V17+Y17</f>
        <v>26359200</v>
      </c>
      <c r="N17" s="1479">
        <f t="shared" ref="N17:N22" si="5">((P17*Q17)+(S17*T17)+(V17*W17)+(Y17*Z17))/M17</f>
        <v>6.54E-2</v>
      </c>
      <c r="O17" s="1506">
        <f>((P17*R17)+(S17*U17)+(V17*X17)+(Y17*AA17))/M17</f>
        <v>0.79</v>
      </c>
      <c r="P17" s="1506">
        <v>0</v>
      </c>
      <c r="Q17" s="1479">
        <v>0</v>
      </c>
      <c r="R17" s="1542">
        <v>0</v>
      </c>
      <c r="S17" s="1506">
        <v>26359200</v>
      </c>
      <c r="T17" s="1479">
        <v>6.54E-2</v>
      </c>
      <c r="U17" s="1506">
        <v>0.79</v>
      </c>
      <c r="V17" s="1506">
        <v>0</v>
      </c>
      <c r="W17" s="1479">
        <v>0</v>
      </c>
      <c r="X17" s="1506">
        <v>0</v>
      </c>
      <c r="Y17" s="1506">
        <v>0</v>
      </c>
      <c r="Z17" s="1479">
        <v>0</v>
      </c>
      <c r="AA17" s="1506">
        <v>0</v>
      </c>
      <c r="AB17" s="1506">
        <v>0</v>
      </c>
      <c r="AC17" s="1479">
        <v>0</v>
      </c>
      <c r="AD17" s="1506">
        <v>0</v>
      </c>
      <c r="AE17" s="1506">
        <v>0</v>
      </c>
      <c r="AF17" s="1479">
        <v>0</v>
      </c>
      <c r="AG17" s="1506">
        <v>0</v>
      </c>
      <c r="AH17" s="1506">
        <v>0</v>
      </c>
      <c r="AI17" s="1479">
        <v>0</v>
      </c>
      <c r="AJ17" s="1506">
        <v>0</v>
      </c>
    </row>
    <row r="18" spans="2:36" s="1475" customFormat="1" ht="18" customHeight="1" x14ac:dyDescent="0.25">
      <c r="B18" s="1476" t="s">
        <v>747</v>
      </c>
      <c r="C18" s="1477"/>
      <c r="D18" s="1506">
        <f t="shared" ref="D18:D24" si="6">G18+AB18+AE18+AH18</f>
        <v>1151219870</v>
      </c>
      <c r="E18" s="1523">
        <f t="shared" si="2"/>
        <v>4.1700000000000001E-2</v>
      </c>
      <c r="F18" s="1477"/>
      <c r="G18" s="1506">
        <f t="shared" ref="G18:G19" si="7">J18+M18</f>
        <v>1151219870</v>
      </c>
      <c r="H18" s="1479">
        <f>((J18*K18)+(M18*N18))/G18</f>
        <v>4.1700000000000001E-2</v>
      </c>
      <c r="I18" s="1506">
        <f t="shared" si="3"/>
        <v>7.85</v>
      </c>
      <c r="J18" s="1506">
        <v>0</v>
      </c>
      <c r="K18" s="1479">
        <v>0</v>
      </c>
      <c r="L18" s="1506">
        <v>0</v>
      </c>
      <c r="M18" s="1506">
        <f t="shared" si="4"/>
        <v>1151219870</v>
      </c>
      <c r="N18" s="1479">
        <f t="shared" si="5"/>
        <v>4.1700000000000001E-2</v>
      </c>
      <c r="O18" s="1506">
        <f t="shared" ref="O18:O24" si="8">((P18*R18)+(S18*U18)+(V18*X18)+(Y18*AA18))/M18</f>
        <v>7.85</v>
      </c>
      <c r="P18" s="1506">
        <v>382714589.25</v>
      </c>
      <c r="Q18" s="1479">
        <v>4.3900000000000002E-2</v>
      </c>
      <c r="R18" s="1542">
        <v>8.4</v>
      </c>
      <c r="S18" s="1506">
        <v>754511280.75</v>
      </c>
      <c r="T18" s="1479">
        <v>4.0800000000000003E-2</v>
      </c>
      <c r="U18" s="1506">
        <v>7.59</v>
      </c>
      <c r="V18" s="1506">
        <v>12386286.890000001</v>
      </c>
      <c r="W18" s="1479">
        <v>3.3599999999999998E-2</v>
      </c>
      <c r="X18" s="1506">
        <v>6.92</v>
      </c>
      <c r="Y18" s="1506">
        <v>1607713.11</v>
      </c>
      <c r="Z18" s="1479">
        <v>3.3599999999999998E-2</v>
      </c>
      <c r="AA18" s="1506">
        <v>6.92</v>
      </c>
      <c r="AB18" s="1506">
        <v>0</v>
      </c>
      <c r="AC18" s="1479">
        <v>0</v>
      </c>
      <c r="AD18" s="1506">
        <v>0</v>
      </c>
      <c r="AE18" s="1506">
        <v>0</v>
      </c>
      <c r="AF18" s="1479">
        <v>0</v>
      </c>
      <c r="AG18" s="1506">
        <v>0</v>
      </c>
      <c r="AH18" s="1506">
        <v>0</v>
      </c>
      <c r="AI18" s="1479">
        <v>0</v>
      </c>
      <c r="AJ18" s="1506">
        <v>0</v>
      </c>
    </row>
    <row r="19" spans="2:36" s="1475" customFormat="1" ht="18" customHeight="1" x14ac:dyDescent="0.25">
      <c r="B19" s="1476" t="s">
        <v>748</v>
      </c>
      <c r="C19" s="1477"/>
      <c r="D19" s="1506">
        <f t="shared" si="6"/>
        <v>119447893.59999999</v>
      </c>
      <c r="E19" s="1523">
        <f t="shared" si="2"/>
        <v>3.6799999999999999E-2</v>
      </c>
      <c r="F19" s="1477"/>
      <c r="G19" s="1506">
        <f t="shared" si="7"/>
        <v>119447893.59999999</v>
      </c>
      <c r="H19" s="1479">
        <f t="shared" ref="H19:H22" si="9">((J19*K19)+(M19*N19))/G19</f>
        <v>3.6799999999999999E-2</v>
      </c>
      <c r="I19" s="1506">
        <f t="shared" si="3"/>
        <v>1.81</v>
      </c>
      <c r="J19" s="1506">
        <v>0</v>
      </c>
      <c r="K19" s="1479">
        <v>0</v>
      </c>
      <c r="L19" s="1506">
        <v>0</v>
      </c>
      <c r="M19" s="1506">
        <f t="shared" si="4"/>
        <v>119447893.59999999</v>
      </c>
      <c r="N19" s="1479">
        <f t="shared" si="5"/>
        <v>3.6799999999999999E-2</v>
      </c>
      <c r="O19" s="1506">
        <f t="shared" si="8"/>
        <v>1.81</v>
      </c>
      <c r="P19" s="1506">
        <v>40071821.729999997</v>
      </c>
      <c r="Q19" s="1479">
        <v>3.7600000000000001E-2</v>
      </c>
      <c r="R19" s="1542">
        <v>1.71</v>
      </c>
      <c r="S19" s="1506">
        <v>69510549.359999999</v>
      </c>
      <c r="T19" s="1479">
        <v>3.7600000000000001E-2</v>
      </c>
      <c r="U19" s="1506">
        <v>1.71</v>
      </c>
      <c r="V19" s="1506">
        <v>9626529.6600000001</v>
      </c>
      <c r="W19" s="1479">
        <v>2.7900000000000001E-2</v>
      </c>
      <c r="X19" s="1506">
        <v>2.88</v>
      </c>
      <c r="Y19" s="1506">
        <v>238992.85</v>
      </c>
      <c r="Z19" s="1479">
        <v>2.81E-2</v>
      </c>
      <c r="AA19" s="1506">
        <v>2.85</v>
      </c>
      <c r="AB19" s="1506">
        <v>0</v>
      </c>
      <c r="AC19" s="1479">
        <v>0</v>
      </c>
      <c r="AD19" s="1506">
        <v>0</v>
      </c>
      <c r="AE19" s="1506">
        <v>0</v>
      </c>
      <c r="AF19" s="1479">
        <v>0</v>
      </c>
      <c r="AG19" s="1506">
        <v>0</v>
      </c>
      <c r="AH19" s="1506">
        <v>0</v>
      </c>
      <c r="AI19" s="1479">
        <v>0</v>
      </c>
      <c r="AJ19" s="1506">
        <v>0</v>
      </c>
    </row>
    <row r="20" spans="2:36" s="1475" customFormat="1" ht="18" customHeight="1" x14ac:dyDescent="0.25">
      <c r="B20" s="1476" t="s">
        <v>749</v>
      </c>
      <c r="C20" s="1477"/>
      <c r="D20" s="1506">
        <f t="shared" si="6"/>
        <v>1849705726.5899999</v>
      </c>
      <c r="E20" s="1523">
        <f t="shared" si="2"/>
        <v>5.4899999999999997E-2</v>
      </c>
      <c r="F20" s="1477"/>
      <c r="G20" s="1506">
        <f>J20+M20</f>
        <v>1820048317.0899999</v>
      </c>
      <c r="H20" s="1479">
        <f t="shared" si="9"/>
        <v>5.4800000000000001E-2</v>
      </c>
      <c r="I20" s="1506">
        <f t="shared" si="3"/>
        <v>25.34</v>
      </c>
      <c r="J20" s="1506">
        <v>23974008.25</v>
      </c>
      <c r="K20" s="1479">
        <f>Hoja9!I15</f>
        <v>4.5199999999999997E-2</v>
      </c>
      <c r="L20" s="1508">
        <v>25.71</v>
      </c>
      <c r="M20" s="1506">
        <f>P20+S20+V20+Y20</f>
        <v>1796074308.8399999</v>
      </c>
      <c r="N20" s="1479">
        <f t="shared" si="5"/>
        <v>5.4899999999999997E-2</v>
      </c>
      <c r="O20" s="1506">
        <f t="shared" si="8"/>
        <v>25.34</v>
      </c>
      <c r="P20" s="1508">
        <v>577494161.02999997</v>
      </c>
      <c r="Q20" s="1479">
        <v>5.7299999999999997E-2</v>
      </c>
      <c r="R20" s="1549">
        <v>27.41</v>
      </c>
      <c r="S20" s="1506">
        <v>1208217747.45</v>
      </c>
      <c r="T20" s="1479">
        <v>5.3900000000000003E-2</v>
      </c>
      <c r="U20" s="1508">
        <v>24.37</v>
      </c>
      <c r="V20" s="1506">
        <v>9648187.2400000002</v>
      </c>
      <c r="W20" s="1479">
        <v>4.5100000000000001E-2</v>
      </c>
      <c r="X20" s="1508">
        <v>23.62</v>
      </c>
      <c r="Y20" s="1506">
        <v>714213.12</v>
      </c>
      <c r="Z20" s="1479">
        <v>4.5499999999999999E-2</v>
      </c>
      <c r="AA20" s="1508">
        <v>23.88</v>
      </c>
      <c r="AB20" s="1506">
        <v>29657409.5</v>
      </c>
      <c r="AC20" s="1479">
        <v>6.3700000000000007E-2</v>
      </c>
      <c r="AD20" s="1508">
        <v>11.25</v>
      </c>
      <c r="AE20" s="1506">
        <v>0</v>
      </c>
      <c r="AF20" s="1479">
        <v>0</v>
      </c>
      <c r="AG20" s="1508">
        <v>0</v>
      </c>
      <c r="AH20" s="1506">
        <v>0</v>
      </c>
      <c r="AI20" s="1479">
        <v>0</v>
      </c>
      <c r="AJ20" s="1508">
        <v>0</v>
      </c>
    </row>
    <row r="21" spans="2:36" s="1475" customFormat="1" ht="18" customHeight="1" x14ac:dyDescent="0.25">
      <c r="B21" s="1476" t="s">
        <v>750</v>
      </c>
      <c r="C21" s="1477"/>
      <c r="D21" s="1506">
        <f t="shared" si="6"/>
        <v>205736000</v>
      </c>
      <c r="E21" s="1523">
        <f t="shared" si="2"/>
        <v>0.03</v>
      </c>
      <c r="F21" s="1477"/>
      <c r="G21" s="1506">
        <f t="shared" ref="G21:G22" si="10">J21+M21</f>
        <v>205736000</v>
      </c>
      <c r="H21" s="1479">
        <f t="shared" si="9"/>
        <v>0.03</v>
      </c>
      <c r="I21" s="1506">
        <f t="shared" si="3"/>
        <v>5.39</v>
      </c>
      <c r="J21" s="1506">
        <v>11955245.92</v>
      </c>
      <c r="K21" s="1479">
        <v>0.03</v>
      </c>
      <c r="L21" s="1508">
        <v>5.09</v>
      </c>
      <c r="M21" s="1506">
        <f t="shared" si="4"/>
        <v>193780754.08000001</v>
      </c>
      <c r="N21" s="1479">
        <f t="shared" si="5"/>
        <v>0.03</v>
      </c>
      <c r="O21" s="1506">
        <f t="shared" si="8"/>
        <v>5.41</v>
      </c>
      <c r="P21" s="1508">
        <f>Hoja10!F94</f>
        <v>43962855.689999998</v>
      </c>
      <c r="Q21" s="1479">
        <f>Hoja10!I94</f>
        <v>0.03</v>
      </c>
      <c r="R21" s="1549">
        <v>6.52</v>
      </c>
      <c r="S21" s="1506">
        <f>Hoja10!F219</f>
        <v>145874620.30000001</v>
      </c>
      <c r="T21" s="1479">
        <v>0.03</v>
      </c>
      <c r="U21" s="1508">
        <v>5.09</v>
      </c>
      <c r="V21" s="1506">
        <v>3767877.24</v>
      </c>
      <c r="W21" s="1479">
        <v>0.03</v>
      </c>
      <c r="X21" s="1508">
        <v>5.09</v>
      </c>
      <c r="Y21" s="1506">
        <v>175400.85</v>
      </c>
      <c r="Z21" s="1479">
        <v>0.03</v>
      </c>
      <c r="AA21" s="1508">
        <v>5.09</v>
      </c>
      <c r="AB21" s="1506">
        <v>0</v>
      </c>
      <c r="AC21" s="1479">
        <v>0</v>
      </c>
      <c r="AD21" s="1508">
        <v>0</v>
      </c>
      <c r="AE21" s="1506">
        <v>0</v>
      </c>
      <c r="AF21" s="1479">
        <v>0</v>
      </c>
      <c r="AG21" s="1508">
        <v>0</v>
      </c>
      <c r="AH21" s="1506">
        <v>0</v>
      </c>
      <c r="AI21" s="1479">
        <v>0</v>
      </c>
      <c r="AJ21" s="1508">
        <v>0</v>
      </c>
    </row>
    <row r="22" spans="2:36" s="1475" customFormat="1" ht="18" customHeight="1" x14ac:dyDescent="0.25">
      <c r="B22" s="1476" t="s">
        <v>751</v>
      </c>
      <c r="C22" s="1477"/>
      <c r="D22" s="1506">
        <f t="shared" si="6"/>
        <v>200000000</v>
      </c>
      <c r="E22" s="1523">
        <f t="shared" si="2"/>
        <v>3.5499999999999997E-2</v>
      </c>
      <c r="F22" s="1477"/>
      <c r="G22" s="1506">
        <f t="shared" si="10"/>
        <v>200000000</v>
      </c>
      <c r="H22" s="1479">
        <f t="shared" si="9"/>
        <v>3.5499999999999997E-2</v>
      </c>
      <c r="I22" s="1506">
        <f t="shared" si="3"/>
        <v>6.89</v>
      </c>
      <c r="J22" s="1506">
        <v>0</v>
      </c>
      <c r="K22" s="1479">
        <v>0</v>
      </c>
      <c r="L22" s="1506">
        <v>0</v>
      </c>
      <c r="M22" s="1506">
        <f t="shared" si="4"/>
        <v>200000000</v>
      </c>
      <c r="N22" s="1479">
        <f t="shared" si="5"/>
        <v>3.5499999999999997E-2</v>
      </c>
      <c r="O22" s="1506">
        <f t="shared" si="8"/>
        <v>6.89</v>
      </c>
      <c r="P22" s="1506">
        <f>Hoja10!F95+Hoja10!F96</f>
        <v>81500000</v>
      </c>
      <c r="Q22" s="1479">
        <f>Hoja10!I97</f>
        <v>3.5499999999999997E-2</v>
      </c>
      <c r="R22" s="1542">
        <v>6.9</v>
      </c>
      <c r="S22" s="1506">
        <f>SUM(Hoja10!F220:F223)</f>
        <v>118500000</v>
      </c>
      <c r="T22" s="1479">
        <f>Hoja10!I224</f>
        <v>3.5499999999999997E-2</v>
      </c>
      <c r="U22" s="1506">
        <v>6.88</v>
      </c>
      <c r="V22" s="1506">
        <v>0</v>
      </c>
      <c r="W22" s="1479">
        <v>0</v>
      </c>
      <c r="X22" s="1506">
        <v>0</v>
      </c>
      <c r="Y22" s="1506">
        <v>0</v>
      </c>
      <c r="Z22" s="1479">
        <v>0</v>
      </c>
      <c r="AA22" s="1506">
        <v>0</v>
      </c>
      <c r="AB22" s="1506">
        <v>0</v>
      </c>
      <c r="AC22" s="1479">
        <v>0</v>
      </c>
      <c r="AD22" s="1506">
        <v>0</v>
      </c>
      <c r="AE22" s="1506">
        <v>0</v>
      </c>
      <c r="AF22" s="1479">
        <v>0</v>
      </c>
      <c r="AG22" s="1506">
        <v>0</v>
      </c>
      <c r="AH22" s="1506">
        <v>0</v>
      </c>
      <c r="AI22" s="1479">
        <v>0</v>
      </c>
      <c r="AJ22" s="1506">
        <v>0</v>
      </c>
    </row>
    <row r="23" spans="2:36" s="1475" customFormat="1" ht="6" customHeight="1" x14ac:dyDescent="0.25">
      <c r="B23" s="1504"/>
      <c r="C23" s="1477"/>
      <c r="D23" s="1504"/>
      <c r="E23" s="1505"/>
      <c r="F23" s="1477"/>
      <c r="G23" s="1506"/>
      <c r="H23" s="1479"/>
      <c r="I23" s="1479"/>
      <c r="J23" s="1506"/>
      <c r="K23" s="1479"/>
      <c r="L23" s="1479"/>
      <c r="M23" s="1506"/>
      <c r="N23" s="1479"/>
      <c r="O23" s="1479"/>
      <c r="P23" s="1479"/>
      <c r="Q23" s="1479"/>
      <c r="R23" s="1480"/>
      <c r="S23" s="1506"/>
      <c r="T23" s="1479"/>
      <c r="U23" s="1479"/>
      <c r="V23" s="1506"/>
      <c r="W23" s="1479"/>
      <c r="X23" s="1479"/>
      <c r="Y23" s="1506"/>
      <c r="Z23" s="1479"/>
      <c r="AA23" s="1479"/>
      <c r="AB23" s="1506"/>
      <c r="AC23" s="1479"/>
      <c r="AD23" s="1479"/>
      <c r="AE23" s="1506"/>
      <c r="AF23" s="1479"/>
      <c r="AG23" s="1479"/>
      <c r="AH23" s="1506"/>
      <c r="AI23" s="1479"/>
      <c r="AJ23" s="1479"/>
    </row>
    <row r="24" spans="2:36" s="1475" customFormat="1" ht="18" customHeight="1" x14ac:dyDescent="0.25">
      <c r="B24" s="1502" t="s">
        <v>752</v>
      </c>
      <c r="C24" s="1477"/>
      <c r="D24" s="1544">
        <f t="shared" si="6"/>
        <v>516635131.04000002</v>
      </c>
      <c r="E24" s="1545">
        <f t="shared" si="2"/>
        <v>5.0799999999999998E-2</v>
      </c>
      <c r="F24" s="1500"/>
      <c r="G24" s="1544">
        <f>J24+M24</f>
        <v>483015574.93000001</v>
      </c>
      <c r="H24" s="1546">
        <f>((J24*K24)+(M24*N24))/G24</f>
        <v>5.0099999999999999E-2</v>
      </c>
      <c r="I24" s="1544">
        <f>((J24*L24)+(M24*O24))/G24</f>
        <v>3.54</v>
      </c>
      <c r="J24" s="1544">
        <v>0</v>
      </c>
      <c r="K24" s="1546">
        <v>0</v>
      </c>
      <c r="L24" s="1544">
        <v>0</v>
      </c>
      <c r="M24" s="1544">
        <f>P24+S24+V24+Y24</f>
        <v>483015574.93000001</v>
      </c>
      <c r="N24" s="1546">
        <f>((P24*Q24)+(S24*T24)+(V24*W24)+(Y24*Z24))/M24</f>
        <v>5.0099999999999999E-2</v>
      </c>
      <c r="O24" s="1544">
        <f t="shared" si="8"/>
        <v>3.54</v>
      </c>
      <c r="P24" s="1544">
        <f>63000000+63000000+31500000+212.35</f>
        <v>157500212.34999999</v>
      </c>
      <c r="Q24" s="1546">
        <v>4.7600000000000003E-2</v>
      </c>
      <c r="R24" s="1550">
        <v>3.8</v>
      </c>
      <c r="S24" s="1544">
        <v>270858715.13</v>
      </c>
      <c r="T24" s="1546">
        <v>4.8899999999999999E-2</v>
      </c>
      <c r="U24" s="1544">
        <v>3.78</v>
      </c>
      <c r="V24" s="1544">
        <v>54263732.130000003</v>
      </c>
      <c r="W24" s="1546">
        <v>6.3600000000000004E-2</v>
      </c>
      <c r="X24" s="1544">
        <v>1.61</v>
      </c>
      <c r="Y24" s="1544">
        <v>392915.32</v>
      </c>
      <c r="Z24" s="1546">
        <v>5.6000000000000001E-2</v>
      </c>
      <c r="AA24" s="1544">
        <v>1</v>
      </c>
      <c r="AB24" s="1544">
        <v>0</v>
      </c>
      <c r="AC24" s="1546">
        <v>0</v>
      </c>
      <c r="AD24" s="1544">
        <v>0</v>
      </c>
      <c r="AE24" s="1544">
        <v>1923539.11</v>
      </c>
      <c r="AF24" s="1546">
        <v>0.06</v>
      </c>
      <c r="AG24" s="1544">
        <v>1</v>
      </c>
      <c r="AH24" s="1544">
        <v>31696017</v>
      </c>
      <c r="AI24" s="1546">
        <v>6.0999999999999999E-2</v>
      </c>
      <c r="AJ24" s="1544">
        <v>1.53</v>
      </c>
    </row>
    <row r="25" spans="2:36" s="151" customFormat="1" ht="6" customHeight="1" x14ac:dyDescent="0.25">
      <c r="B25" s="1476"/>
      <c r="C25" s="1511"/>
      <c r="D25" s="1504"/>
      <c r="E25" s="1507"/>
      <c r="F25" s="1477"/>
      <c r="G25" s="1506"/>
      <c r="H25" s="1479"/>
      <c r="I25" s="1479"/>
      <c r="J25" s="1506"/>
      <c r="K25" s="1479"/>
      <c r="L25" s="1479"/>
      <c r="M25" s="1506"/>
      <c r="N25" s="1479"/>
      <c r="O25" s="1479"/>
      <c r="P25" s="1479"/>
      <c r="Q25" s="1479"/>
      <c r="R25" s="1480"/>
      <c r="S25" s="1506"/>
      <c r="T25" s="1479"/>
      <c r="U25" s="1479"/>
      <c r="V25" s="1508"/>
      <c r="W25" s="1479"/>
      <c r="X25" s="1479"/>
      <c r="Y25" s="1506"/>
      <c r="Z25" s="1479"/>
      <c r="AA25" s="1479"/>
      <c r="AB25" s="1506"/>
      <c r="AC25" s="1479"/>
      <c r="AD25" s="1479"/>
      <c r="AE25" s="1506"/>
      <c r="AF25" s="1479"/>
      <c r="AG25" s="1479"/>
      <c r="AH25" s="1506"/>
      <c r="AI25" s="1479"/>
      <c r="AJ25" s="1479"/>
    </row>
    <row r="26" spans="2:36" s="147" customFormat="1" ht="18" customHeight="1" x14ac:dyDescent="0.25">
      <c r="B26" s="1502" t="s">
        <v>753</v>
      </c>
      <c r="C26" s="1505"/>
      <c r="D26" s="1544">
        <f>SUM(D27:D31)</f>
        <v>144371000</v>
      </c>
      <c r="E26" s="1545">
        <f>+(D27*E27+D28*E28+D29*E29+D30*E30+D31*E31)/D26</f>
        <v>5.5100000000000003E-2</v>
      </c>
      <c r="F26" s="1511"/>
      <c r="G26" s="1544">
        <f>SUM(G27:G31)</f>
        <v>94371000</v>
      </c>
      <c r="H26" s="1546">
        <f>+(G27*H27+G28*H28+G29*H29+G30*H30+G31*H31)/G26</f>
        <v>5.4100000000000002E-2</v>
      </c>
      <c r="I26" s="1547">
        <f>((G27*I27)+(G28*I28+G29*I29+G30*I30+G31*I31))/G26</f>
        <v>3.31</v>
      </c>
      <c r="J26" s="1544">
        <f>SUM(J27:J31)</f>
        <v>0</v>
      </c>
      <c r="K26" s="1546">
        <f>SUM(K27:K31)</f>
        <v>0</v>
      </c>
      <c r="L26" s="1544">
        <f>SUM(L27:L31)</f>
        <v>0</v>
      </c>
      <c r="M26" s="1544">
        <f>SUM(M27:M31)</f>
        <v>94371000</v>
      </c>
      <c r="N26" s="1546">
        <f>+(M27*N27+M28*N28+M29*N29+M30*N30+M31*N31)/M26</f>
        <v>5.4100000000000002E-2</v>
      </c>
      <c r="O26" s="1548">
        <f>(($M$27*O27)+($M$28*O28)+($M$29*O29)+($M$30*O30)+($M$31*O31))/$M26</f>
        <v>3.31</v>
      </c>
      <c r="P26" s="1544">
        <f>SUM(P27:P31)</f>
        <v>37505548.609999999</v>
      </c>
      <c r="Q26" s="1546">
        <f>+(P27*Q27+P28*Q28+P29*Q29+P31*Q31)/P26</f>
        <v>4.7300000000000002E-2</v>
      </c>
      <c r="R26" s="1548">
        <f>+(P27*R27+P28*R28+P29*R29+P30*R30+P31*R31)/P26</f>
        <v>2.41</v>
      </c>
      <c r="S26" s="1544">
        <f>SUM(S27:S31)</f>
        <v>56865451.390000001</v>
      </c>
      <c r="T26" s="1546">
        <f>+(S27*T27+S28*T28+S29*T29+S30*T30+S31*T31)/S26</f>
        <v>5.8599999999999999E-2</v>
      </c>
      <c r="U26" s="1548">
        <f>+(S27*U27+S28*U28+S29*U29+S30*U30+S31*U31)/S26</f>
        <v>3.91</v>
      </c>
      <c r="V26" s="1548">
        <v>0</v>
      </c>
      <c r="W26" s="1546">
        <v>0</v>
      </c>
      <c r="X26" s="1548">
        <v>0</v>
      </c>
      <c r="Y26" s="1544">
        <v>0</v>
      </c>
      <c r="Z26" s="1546">
        <v>0</v>
      </c>
      <c r="AA26" s="1544">
        <v>0</v>
      </c>
      <c r="AB26" s="1544">
        <f t="shared" ref="AB26:AI26" si="11">SUM(AB27:AB31)</f>
        <v>0</v>
      </c>
      <c r="AC26" s="1546">
        <f t="shared" si="11"/>
        <v>0</v>
      </c>
      <c r="AD26" s="1544">
        <v>0</v>
      </c>
      <c r="AE26" s="1544">
        <f t="shared" si="11"/>
        <v>50000000</v>
      </c>
      <c r="AF26" s="1546">
        <f>((AE27*AF27)+(AE29*AF29))/AE26</f>
        <v>5.7000000000000002E-2</v>
      </c>
      <c r="AG26" s="1548">
        <f>+(AE27*AG27+AE28*AG28+AE29*AG29+AE30*AG30+AE31*AG31)/AE26</f>
        <v>0.88</v>
      </c>
      <c r="AH26" s="1544">
        <f t="shared" si="11"/>
        <v>0</v>
      </c>
      <c r="AI26" s="1546">
        <f t="shared" si="11"/>
        <v>0</v>
      </c>
      <c r="AJ26" s="1544">
        <v>0</v>
      </c>
    </row>
    <row r="27" spans="2:36" s="147" customFormat="1" ht="18" customHeight="1" x14ac:dyDescent="0.25">
      <c r="B27" s="1476" t="s">
        <v>754</v>
      </c>
      <c r="C27" s="1505"/>
      <c r="D27" s="1506">
        <f t="shared" ref="D27:D33" si="12">G27+AB27+AE27+AH27</f>
        <v>20000000</v>
      </c>
      <c r="E27" s="1523">
        <f t="shared" ref="E27:E31" si="13">((G27*H27)+(AB27*AC27)+(AE27*AF27)+(AH27*AI27))/D27</f>
        <v>0.06</v>
      </c>
      <c r="F27" s="1511"/>
      <c r="G27" s="1506">
        <f>J27+M27</f>
        <v>0</v>
      </c>
      <c r="H27" s="1479">
        <v>0</v>
      </c>
      <c r="I27" s="1506">
        <v>0</v>
      </c>
      <c r="J27" s="1506">
        <v>0</v>
      </c>
      <c r="K27" s="1479">
        <v>0</v>
      </c>
      <c r="L27" s="1506">
        <v>0</v>
      </c>
      <c r="M27" s="1506">
        <f>P27+S27+V27+Y27</f>
        <v>0</v>
      </c>
      <c r="N27" s="1479">
        <v>0</v>
      </c>
      <c r="O27" s="1506">
        <v>0</v>
      </c>
      <c r="P27" s="1506">
        <v>0</v>
      </c>
      <c r="Q27" s="1479">
        <v>0</v>
      </c>
      <c r="R27" s="1542">
        <v>0</v>
      </c>
      <c r="S27" s="1506">
        <v>0</v>
      </c>
      <c r="T27" s="1479">
        <v>0</v>
      </c>
      <c r="U27" s="1506">
        <v>0</v>
      </c>
      <c r="V27" s="1508">
        <v>0</v>
      </c>
      <c r="W27" s="1479">
        <v>0</v>
      </c>
      <c r="X27" s="1506">
        <v>0</v>
      </c>
      <c r="Y27" s="1506">
        <v>0</v>
      </c>
      <c r="Z27" s="1479">
        <v>0</v>
      </c>
      <c r="AA27" s="1506">
        <v>0</v>
      </c>
      <c r="AB27" s="1506">
        <v>0</v>
      </c>
      <c r="AC27" s="1479">
        <v>0</v>
      </c>
      <c r="AD27" s="1506">
        <v>0</v>
      </c>
      <c r="AE27" s="1506">
        <v>20000000</v>
      </c>
      <c r="AF27" s="1479">
        <v>0.06</v>
      </c>
      <c r="AG27" s="1506">
        <v>1.1000000000000001</v>
      </c>
      <c r="AH27" s="1506">
        <v>0</v>
      </c>
      <c r="AI27" s="1479">
        <v>0</v>
      </c>
      <c r="AJ27" s="1506">
        <v>0</v>
      </c>
    </row>
    <row r="28" spans="2:36" s="147" customFormat="1" ht="18" customHeight="1" x14ac:dyDescent="0.25">
      <c r="B28" s="1476" t="s">
        <v>756</v>
      </c>
      <c r="C28" s="1505"/>
      <c r="D28" s="1506">
        <f t="shared" si="12"/>
        <v>34371000</v>
      </c>
      <c r="E28" s="1523">
        <f t="shared" si="13"/>
        <v>4.4699999999999997E-2</v>
      </c>
      <c r="F28" s="1500"/>
      <c r="G28" s="1551">
        <f>J28+M28</f>
        <v>34371000</v>
      </c>
      <c r="H28" s="1552">
        <f>((J28*K28)+(M28*N28))/G28</f>
        <v>4.4699999999999997E-2</v>
      </c>
      <c r="I28" s="1506">
        <f t="shared" ref="I28:I33" si="14">((J28*L28)+(M28*O28))/G28</f>
        <v>4.2300000000000004</v>
      </c>
      <c r="J28" s="1506">
        <v>0</v>
      </c>
      <c r="K28" s="1479">
        <v>0</v>
      </c>
      <c r="L28" s="1506">
        <v>0</v>
      </c>
      <c r="M28" s="1506">
        <f>P28+S28+V28+Y28</f>
        <v>34371000</v>
      </c>
      <c r="N28" s="1479">
        <f>((P28*Q28)+(S28*T28)+(V28*W28)+(Y28*Z28))/M28</f>
        <v>4.4699999999999997E-2</v>
      </c>
      <c r="O28" s="1506">
        <f t="shared" ref="O28:O33" si="15">((P28*R28)+(S28*U28)+(V28*X28)+(Y28*AA28))/M28</f>
        <v>4.2300000000000004</v>
      </c>
      <c r="P28" s="1506">
        <f>Hoja10!F97</f>
        <v>26407020</v>
      </c>
      <c r="Q28" s="1479">
        <f>Hoja10!I100</f>
        <v>4.19E-2</v>
      </c>
      <c r="R28" s="1542">
        <v>3.11</v>
      </c>
      <c r="S28" s="1506">
        <f>Hoja10!F225</f>
        <v>7963980</v>
      </c>
      <c r="T28" s="1479">
        <v>5.3999999999999999E-2</v>
      </c>
      <c r="U28" s="1506">
        <v>7.96</v>
      </c>
      <c r="V28" s="1508">
        <v>0</v>
      </c>
      <c r="W28" s="1479">
        <v>0</v>
      </c>
      <c r="X28" s="1506">
        <v>0</v>
      </c>
      <c r="Y28" s="1506">
        <v>0</v>
      </c>
      <c r="Z28" s="1479">
        <v>0</v>
      </c>
      <c r="AA28" s="1506">
        <v>0</v>
      </c>
      <c r="AB28" s="1506">
        <v>0</v>
      </c>
      <c r="AC28" s="1479">
        <v>0</v>
      </c>
      <c r="AD28" s="1506">
        <v>0</v>
      </c>
      <c r="AE28" s="1506">
        <v>0</v>
      </c>
      <c r="AF28" s="1479">
        <v>0</v>
      </c>
      <c r="AG28" s="1506">
        <v>0</v>
      </c>
      <c r="AH28" s="1506">
        <v>0</v>
      </c>
      <c r="AI28" s="1479">
        <v>0</v>
      </c>
      <c r="AJ28" s="1506">
        <v>0</v>
      </c>
    </row>
    <row r="29" spans="2:36" s="147" customFormat="1" ht="18" customHeight="1" x14ac:dyDescent="0.25">
      <c r="B29" s="1476" t="s">
        <v>757</v>
      </c>
      <c r="C29" s="1505"/>
      <c r="D29" s="1506">
        <f t="shared" si="12"/>
        <v>30000000</v>
      </c>
      <c r="E29" s="1523">
        <f t="shared" si="13"/>
        <v>5.5E-2</v>
      </c>
      <c r="F29" s="1500"/>
      <c r="G29" s="1551">
        <f>J29+M29</f>
        <v>0</v>
      </c>
      <c r="H29" s="1479">
        <v>0</v>
      </c>
      <c r="I29" s="1506">
        <v>0</v>
      </c>
      <c r="J29" s="1506">
        <v>0</v>
      </c>
      <c r="K29" s="1479">
        <v>0</v>
      </c>
      <c r="L29" s="1506">
        <v>0</v>
      </c>
      <c r="M29" s="1506">
        <f>P29+S29+V29+Y29</f>
        <v>0</v>
      </c>
      <c r="N29" s="1479">
        <v>0</v>
      </c>
      <c r="O29" s="1506">
        <v>0</v>
      </c>
      <c r="P29" s="1506">
        <v>0</v>
      </c>
      <c r="Q29" s="1479">
        <v>0</v>
      </c>
      <c r="R29" s="1542">
        <v>0</v>
      </c>
      <c r="S29" s="1506">
        <v>0</v>
      </c>
      <c r="T29" s="1479">
        <v>0</v>
      </c>
      <c r="U29" s="1506">
        <v>0</v>
      </c>
      <c r="V29" s="1508">
        <v>0</v>
      </c>
      <c r="W29" s="1479">
        <v>0</v>
      </c>
      <c r="X29" s="1506">
        <v>0</v>
      </c>
      <c r="Y29" s="1506">
        <v>0</v>
      </c>
      <c r="Z29" s="1479">
        <v>0</v>
      </c>
      <c r="AA29" s="1506">
        <v>0</v>
      </c>
      <c r="AB29" s="1506">
        <v>0</v>
      </c>
      <c r="AC29" s="1479">
        <v>0</v>
      </c>
      <c r="AD29" s="1506">
        <v>0</v>
      </c>
      <c r="AE29" s="1506">
        <v>30000000</v>
      </c>
      <c r="AF29" s="1479">
        <v>5.5E-2</v>
      </c>
      <c r="AG29" s="1506">
        <v>0.74</v>
      </c>
      <c r="AH29" s="1506">
        <v>0</v>
      </c>
      <c r="AI29" s="1479">
        <v>0</v>
      </c>
      <c r="AJ29" s="1506">
        <v>0</v>
      </c>
    </row>
    <row r="30" spans="2:36" s="147" customFormat="1" ht="18" customHeight="1" x14ac:dyDescent="0.25">
      <c r="B30" s="1476" t="s">
        <v>757</v>
      </c>
      <c r="C30" s="1505"/>
      <c r="D30" s="1506">
        <f t="shared" si="12"/>
        <v>30000000</v>
      </c>
      <c r="E30" s="1523">
        <f t="shared" si="13"/>
        <v>5.8999999999999997E-2</v>
      </c>
      <c r="F30" s="1500"/>
      <c r="G30" s="1551">
        <f>J30+M30</f>
        <v>30000000</v>
      </c>
      <c r="H30" s="1552">
        <f>((J30*K30)+(M30*N30))/G30</f>
        <v>5.8999999999999997E-2</v>
      </c>
      <c r="I30" s="1506">
        <f t="shared" si="14"/>
        <v>4.82</v>
      </c>
      <c r="J30" s="1506">
        <v>0</v>
      </c>
      <c r="K30" s="1479">
        <v>0</v>
      </c>
      <c r="L30" s="1506">
        <v>0</v>
      </c>
      <c r="M30" s="1506">
        <f>P30+S30+V30+Y30</f>
        <v>30000000</v>
      </c>
      <c r="N30" s="1479">
        <f>((P30*Q30)+(S30*T30)+(V30*W30)+(Y30*Z30))/M30</f>
        <v>5.8999999999999997E-2</v>
      </c>
      <c r="O30" s="1506">
        <f t="shared" si="15"/>
        <v>4.82</v>
      </c>
      <c r="P30" s="1506">
        <v>0</v>
      </c>
      <c r="Q30" s="1479">
        <v>0</v>
      </c>
      <c r="R30" s="1542">
        <v>0</v>
      </c>
      <c r="S30" s="1506">
        <v>30000000</v>
      </c>
      <c r="T30" s="1479">
        <v>5.8999999999999997E-2</v>
      </c>
      <c r="U30" s="1506">
        <v>4.82</v>
      </c>
      <c r="V30" s="1508">
        <v>0</v>
      </c>
      <c r="W30" s="1479">
        <v>0</v>
      </c>
      <c r="X30" s="1506">
        <v>0</v>
      </c>
      <c r="Y30" s="1506">
        <v>0</v>
      </c>
      <c r="Z30" s="1479">
        <v>0</v>
      </c>
      <c r="AA30" s="1506">
        <v>0</v>
      </c>
      <c r="AB30" s="1506">
        <v>0</v>
      </c>
      <c r="AC30" s="1479">
        <v>0</v>
      </c>
      <c r="AD30" s="1506">
        <v>0</v>
      </c>
      <c r="AE30" s="1506">
        <v>0</v>
      </c>
      <c r="AF30" s="1479">
        <v>0</v>
      </c>
      <c r="AG30" s="1506">
        <v>0</v>
      </c>
      <c r="AH30" s="1506">
        <v>0</v>
      </c>
      <c r="AI30" s="1479">
        <v>0</v>
      </c>
      <c r="AJ30" s="1506">
        <v>0</v>
      </c>
    </row>
    <row r="31" spans="2:36" s="147" customFormat="1" ht="18" customHeight="1" x14ac:dyDescent="0.25">
      <c r="B31" s="1476" t="s">
        <v>758</v>
      </c>
      <c r="C31" s="1505"/>
      <c r="D31" s="1506">
        <f t="shared" si="12"/>
        <v>30000000</v>
      </c>
      <c r="E31" s="1523">
        <f t="shared" si="13"/>
        <v>0.06</v>
      </c>
      <c r="F31" s="1511"/>
      <c r="G31" s="1551">
        <f>J31+M31</f>
        <v>30000000</v>
      </c>
      <c r="H31" s="1552">
        <f>((J31*K31)+(M31*N31))/G31</f>
        <v>0.06</v>
      </c>
      <c r="I31" s="1506">
        <f t="shared" si="14"/>
        <v>0.76</v>
      </c>
      <c r="J31" s="1506">
        <v>0</v>
      </c>
      <c r="K31" s="1479">
        <v>0</v>
      </c>
      <c r="L31" s="1506">
        <v>0</v>
      </c>
      <c r="M31" s="1506">
        <f>P31+S31+V31+Y31</f>
        <v>30000000</v>
      </c>
      <c r="N31" s="1479">
        <f>((P31*Q31)+(S31*T31)+(V31*W31)+(Y31*Z31))/M31</f>
        <v>0.06</v>
      </c>
      <c r="O31" s="1506">
        <f t="shared" si="15"/>
        <v>0.76</v>
      </c>
      <c r="P31" s="1506">
        <v>11098528.609999999</v>
      </c>
      <c r="Q31" s="1479">
        <v>0.06</v>
      </c>
      <c r="R31" s="1542">
        <v>0.76</v>
      </c>
      <c r="S31" s="1506">
        <v>18901471.390000001</v>
      </c>
      <c r="T31" s="1479">
        <v>0.06</v>
      </c>
      <c r="U31" s="1506">
        <v>0.76</v>
      </c>
      <c r="V31" s="1508">
        <v>0</v>
      </c>
      <c r="W31" s="1479">
        <v>0</v>
      </c>
      <c r="X31" s="1506">
        <v>0</v>
      </c>
      <c r="Y31" s="1506">
        <v>0</v>
      </c>
      <c r="Z31" s="1479">
        <v>0</v>
      </c>
      <c r="AA31" s="1506">
        <v>0</v>
      </c>
      <c r="AB31" s="1506">
        <v>0</v>
      </c>
      <c r="AC31" s="1479">
        <v>0</v>
      </c>
      <c r="AD31" s="1506">
        <v>0</v>
      </c>
      <c r="AE31" s="1506">
        <v>0</v>
      </c>
      <c r="AF31" s="1479">
        <v>0</v>
      </c>
      <c r="AG31" s="1506">
        <v>0</v>
      </c>
      <c r="AH31" s="1506">
        <v>0</v>
      </c>
      <c r="AI31" s="1479">
        <v>0</v>
      </c>
      <c r="AJ31" s="1506">
        <v>0</v>
      </c>
    </row>
    <row r="32" spans="2:36" s="147" customFormat="1" ht="6" customHeight="1" x14ac:dyDescent="0.25">
      <c r="B32" s="1502"/>
      <c r="C32" s="1505"/>
      <c r="D32" s="1506"/>
      <c r="E32" s="1479"/>
      <c r="F32" s="1511"/>
      <c r="G32" s="1506"/>
      <c r="H32" s="1479"/>
      <c r="I32" s="1479"/>
      <c r="J32" s="1506"/>
      <c r="K32" s="1479"/>
      <c r="L32" s="1479"/>
      <c r="M32" s="1506"/>
      <c r="N32" s="1479"/>
      <c r="O32" s="1479"/>
      <c r="P32" s="1479"/>
      <c r="Q32" s="1479"/>
      <c r="R32" s="1480"/>
      <c r="S32" s="1506"/>
      <c r="T32" s="1479"/>
      <c r="U32" s="1479"/>
      <c r="V32" s="1508"/>
      <c r="W32" s="1479"/>
      <c r="X32" s="1479"/>
      <c r="Y32" s="1506"/>
      <c r="Z32" s="1479"/>
      <c r="AA32" s="1479"/>
      <c r="AB32" s="1506"/>
      <c r="AC32" s="1479"/>
      <c r="AD32" s="1479"/>
      <c r="AE32" s="1506"/>
      <c r="AF32" s="1479"/>
      <c r="AG32" s="1479"/>
      <c r="AH32" s="1506"/>
      <c r="AI32" s="1479"/>
      <c r="AJ32" s="1479"/>
    </row>
    <row r="33" spans="2:36" s="147" customFormat="1" ht="18" customHeight="1" x14ac:dyDescent="0.25">
      <c r="B33" s="1502" t="s">
        <v>759</v>
      </c>
      <c r="C33" s="1505"/>
      <c r="D33" s="1553">
        <f t="shared" si="12"/>
        <v>200000000</v>
      </c>
      <c r="E33" s="1554">
        <f t="shared" ref="E33" si="16">((G33*H33)+(AB33*AC33)+(AE33*AF33)+(AH33*AI33))/D33</f>
        <v>3.5000000000000003E-2</v>
      </c>
      <c r="F33" s="1511"/>
      <c r="G33" s="1555">
        <f>J33+M33</f>
        <v>200000000</v>
      </c>
      <c r="H33" s="1556">
        <f>((J33*K33)+(M33*N33))/G33</f>
        <v>3.5000000000000003E-2</v>
      </c>
      <c r="I33" s="1553">
        <f t="shared" si="14"/>
        <v>18.170000000000002</v>
      </c>
      <c r="J33" s="1553">
        <v>0</v>
      </c>
      <c r="K33" s="1557">
        <v>0</v>
      </c>
      <c r="L33" s="1553">
        <v>0</v>
      </c>
      <c r="M33" s="1553">
        <f>P33+S33+V33+Y33</f>
        <v>200000000</v>
      </c>
      <c r="N33" s="1557">
        <f>((P33*Q33)+(S33*T33)+(V33*W33)+(Y33*Z33))/M33</f>
        <v>3.5000000000000003E-2</v>
      </c>
      <c r="O33" s="1553">
        <f t="shared" si="15"/>
        <v>18.170000000000002</v>
      </c>
      <c r="P33" s="1553">
        <f>Hoja10!F101</f>
        <v>71882137.159999996</v>
      </c>
      <c r="Q33" s="1557">
        <v>3.5000000000000003E-2</v>
      </c>
      <c r="R33" s="1558">
        <v>18.170000000000002</v>
      </c>
      <c r="S33" s="1553">
        <f>Hoja10!F227</f>
        <v>128117862.84</v>
      </c>
      <c r="T33" s="1557">
        <v>3.5000000000000003E-2</v>
      </c>
      <c r="U33" s="1553">
        <v>18.170000000000002</v>
      </c>
      <c r="V33" s="1559">
        <v>0</v>
      </c>
      <c r="W33" s="1557">
        <v>0</v>
      </c>
      <c r="X33" s="1553">
        <v>0</v>
      </c>
      <c r="Y33" s="1553">
        <v>0</v>
      </c>
      <c r="Z33" s="1557">
        <v>0</v>
      </c>
      <c r="AA33" s="1553">
        <v>0</v>
      </c>
      <c r="AB33" s="1553">
        <v>0</v>
      </c>
      <c r="AC33" s="1557">
        <v>0</v>
      </c>
      <c r="AD33" s="1553">
        <v>0</v>
      </c>
      <c r="AE33" s="1553">
        <v>0</v>
      </c>
      <c r="AF33" s="1557">
        <v>0</v>
      </c>
      <c r="AG33" s="1553">
        <v>0</v>
      </c>
      <c r="AH33" s="1553">
        <v>0</v>
      </c>
      <c r="AI33" s="1557">
        <v>0</v>
      </c>
      <c r="AJ33" s="1553">
        <v>0</v>
      </c>
    </row>
    <row r="34" spans="2:36" s="151" customFormat="1" ht="14.25" customHeight="1" x14ac:dyDescent="0.25">
      <c r="B34" s="1510"/>
      <c r="C34" s="1511"/>
      <c r="D34" s="1509"/>
      <c r="E34" s="1512"/>
      <c r="F34" s="1501"/>
      <c r="G34" s="1501"/>
      <c r="H34" s="1513"/>
      <c r="I34" s="1514"/>
      <c r="J34" s="1501"/>
      <c r="K34" s="1514"/>
      <c r="L34" s="1514"/>
      <c r="M34" s="1501"/>
      <c r="N34" s="1514"/>
      <c r="O34" s="1514"/>
      <c r="P34" s="1501"/>
      <c r="Q34" s="1514"/>
      <c r="R34" s="1514"/>
      <c r="S34" s="1501"/>
      <c r="T34" s="1513"/>
      <c r="U34" s="1513"/>
      <c r="V34" s="1515"/>
      <c r="W34" s="1514"/>
      <c r="X34" s="1514"/>
      <c r="Y34" s="1501"/>
      <c r="Z34" s="1514"/>
      <c r="AA34" s="1514"/>
      <c r="AB34" s="1501"/>
      <c r="AC34" s="1514"/>
      <c r="AD34" s="1514"/>
      <c r="AE34" s="1501"/>
      <c r="AF34" s="1514"/>
      <c r="AG34" s="1514"/>
      <c r="AH34" s="1501"/>
      <c r="AI34" s="1514"/>
      <c r="AJ34" s="1501"/>
    </row>
    <row r="35" spans="2:36" s="156" customFormat="1" ht="20.149999999999999" customHeight="1" x14ac:dyDescent="0.25">
      <c r="B35" s="1511" t="s">
        <v>71</v>
      </c>
      <c r="C35" s="1503"/>
      <c r="D35" s="1509"/>
      <c r="E35" s="1516"/>
      <c r="F35" s="1503"/>
      <c r="G35" s="1503"/>
      <c r="H35" s="1517"/>
      <c r="I35" s="1517"/>
      <c r="J35" s="1503"/>
      <c r="K35" s="1517"/>
      <c r="L35" s="1517"/>
      <c r="M35" s="1503"/>
      <c r="N35" s="1517"/>
      <c r="O35" s="1517"/>
      <c r="P35" s="1503"/>
      <c r="Q35" s="1517"/>
      <c r="R35" s="1517"/>
      <c r="S35" s="1503"/>
      <c r="T35" s="1517"/>
      <c r="U35" s="1517"/>
      <c r="V35" s="1518"/>
      <c r="W35" s="1517"/>
      <c r="X35" s="1517"/>
      <c r="Y35" s="1503"/>
      <c r="Z35" s="1517"/>
      <c r="AA35" s="1517"/>
      <c r="AB35" s="1503"/>
      <c r="AC35" s="1517"/>
      <c r="AD35" s="1517"/>
      <c r="AE35" s="1503"/>
      <c r="AF35" s="1517"/>
      <c r="AG35" s="1517"/>
      <c r="AH35" s="1503"/>
      <c r="AI35" s="1517"/>
      <c r="AJ35" s="1503"/>
    </row>
    <row r="36" spans="2:36" s="156" customFormat="1" ht="33" customHeight="1" x14ac:dyDescent="0.25">
      <c r="B36" s="1608" t="s">
        <v>755</v>
      </c>
      <c r="C36" s="1608"/>
      <c r="D36" s="1608"/>
      <c r="E36" s="1608"/>
      <c r="F36" s="1608"/>
      <c r="G36" s="1608"/>
      <c r="H36" s="1608"/>
      <c r="I36" s="1608"/>
      <c r="J36" s="1608"/>
      <c r="K36" s="1608"/>
      <c r="L36" s="1608"/>
      <c r="M36" s="1608"/>
      <c r="N36" s="1608"/>
      <c r="O36" s="1608"/>
      <c r="P36" s="1608"/>
      <c r="Q36" s="1608"/>
      <c r="R36" s="1608"/>
      <c r="S36" s="1608"/>
      <c r="T36" s="1608"/>
      <c r="U36" s="1608"/>
      <c r="V36" s="1608"/>
      <c r="W36" s="1608"/>
      <c r="X36" s="1608"/>
      <c r="Y36" s="1608"/>
      <c r="Z36" s="1608"/>
      <c r="AA36" s="1608"/>
      <c r="AB36" s="1503"/>
      <c r="AC36" s="1517"/>
      <c r="AD36" s="1517"/>
      <c r="AE36" s="1503"/>
      <c r="AF36" s="1517"/>
      <c r="AG36" s="1517"/>
      <c r="AH36" s="1503"/>
      <c r="AI36" s="1517"/>
      <c r="AJ36" s="1503"/>
    </row>
    <row r="37" spans="2:36" s="156" customFormat="1" ht="20.149999999999999" customHeight="1" x14ac:dyDescent="0.25">
      <c r="B37" s="1575" t="s">
        <v>765</v>
      </c>
      <c r="C37" s="1503"/>
      <c r="D37" s="1509"/>
      <c r="E37" s="1519"/>
      <c r="F37" s="1503"/>
      <c r="G37" s="1503"/>
      <c r="H37" s="1517"/>
      <c r="I37" s="1517"/>
      <c r="J37" s="1503"/>
      <c r="K37" s="1517"/>
      <c r="L37" s="1517"/>
      <c r="M37" s="1503"/>
      <c r="N37" s="1517"/>
      <c r="O37" s="1517"/>
      <c r="P37" s="1503"/>
      <c r="Q37" s="1517"/>
      <c r="R37" s="1517"/>
      <c r="S37" s="1503"/>
      <c r="T37" s="1517"/>
      <c r="U37" s="1517"/>
      <c r="V37" s="1518"/>
      <c r="W37" s="1517"/>
      <c r="X37" s="1517"/>
      <c r="Y37" s="1503"/>
      <c r="Z37" s="1517"/>
      <c r="AA37" s="1517"/>
      <c r="AB37" s="1503"/>
      <c r="AC37" s="1517"/>
      <c r="AD37" s="1517"/>
      <c r="AE37" s="1503"/>
      <c r="AF37" s="1517"/>
      <c r="AG37" s="1517"/>
      <c r="AH37" s="1503"/>
      <c r="AI37" s="1517"/>
      <c r="AJ37" s="1503"/>
    </row>
    <row r="38" spans="2:36" s="156" customFormat="1" ht="20.149999999999999" customHeight="1" x14ac:dyDescent="0.25">
      <c r="B38" s="1575" t="s">
        <v>81</v>
      </c>
      <c r="C38" s="1503"/>
      <c r="D38" s="1509"/>
      <c r="E38" s="1519"/>
      <c r="F38" s="1503"/>
      <c r="G38" s="1503"/>
      <c r="H38" s="1517"/>
      <c r="I38" s="1517"/>
      <c r="J38" s="1503"/>
      <c r="K38" s="1517"/>
      <c r="L38" s="1517"/>
      <c r="M38" s="1503"/>
      <c r="N38" s="1517"/>
      <c r="O38" s="1517"/>
      <c r="P38" s="1503"/>
      <c r="Q38" s="1517"/>
      <c r="R38" s="1517"/>
      <c r="S38" s="1503"/>
      <c r="T38" s="1517"/>
      <c r="U38" s="1517"/>
      <c r="V38" s="1518"/>
      <c r="W38" s="1517"/>
      <c r="X38" s="1517"/>
      <c r="Y38" s="1503"/>
      <c r="Z38" s="1517"/>
      <c r="AA38" s="1517"/>
      <c r="AB38" s="1503"/>
      <c r="AC38" s="1517"/>
      <c r="AD38" s="1517"/>
      <c r="AE38" s="1503"/>
      <c r="AF38" s="1517"/>
      <c r="AG38" s="1517"/>
      <c r="AH38" s="1503"/>
      <c r="AI38" s="1517"/>
      <c r="AJ38" s="1503"/>
    </row>
    <row r="39" spans="2:36" s="156" customFormat="1" ht="33" customHeight="1" x14ac:dyDescent="0.25">
      <c r="B39" s="1608" t="s">
        <v>763</v>
      </c>
      <c r="C39" s="1608"/>
      <c r="D39" s="1608"/>
      <c r="E39" s="1608"/>
      <c r="F39" s="1608"/>
      <c r="G39" s="1608"/>
      <c r="H39" s="1608"/>
      <c r="I39" s="1608"/>
      <c r="J39" s="1608"/>
      <c r="K39" s="1608"/>
      <c r="L39" s="1608"/>
      <c r="M39" s="1608"/>
      <c r="N39" s="1608"/>
      <c r="O39" s="1608"/>
      <c r="P39" s="1608"/>
      <c r="Q39" s="1608"/>
      <c r="R39" s="1608"/>
      <c r="S39" s="1608"/>
      <c r="T39" s="1608"/>
      <c r="U39" s="1608"/>
      <c r="V39" s="1608"/>
      <c r="W39" s="1608"/>
      <c r="X39" s="1608"/>
      <c r="Y39" s="1608"/>
      <c r="Z39" s="1608"/>
      <c r="AA39" s="1608"/>
      <c r="AB39" s="1503"/>
      <c r="AC39" s="1517"/>
      <c r="AD39" s="1517"/>
      <c r="AE39" s="1503"/>
      <c r="AF39" s="1517"/>
      <c r="AG39" s="1517"/>
      <c r="AH39" s="1503"/>
      <c r="AI39" s="1517"/>
      <c r="AJ39" s="1503"/>
    </row>
    <row r="40" spans="2:36" s="156" customFormat="1" ht="31.5" customHeight="1" x14ac:dyDescent="0.25">
      <c r="B40" s="1608" t="s">
        <v>764</v>
      </c>
      <c r="C40" s="1608"/>
      <c r="D40" s="1608"/>
      <c r="E40" s="1608"/>
      <c r="F40" s="1608"/>
      <c r="G40" s="1608"/>
      <c r="H40" s="1608"/>
      <c r="I40" s="1608"/>
      <c r="J40" s="1608"/>
      <c r="K40" s="1608"/>
      <c r="L40" s="1608"/>
      <c r="M40" s="1608"/>
      <c r="N40" s="1608"/>
      <c r="O40" s="1608"/>
      <c r="P40" s="1608"/>
      <c r="Q40" s="1608"/>
      <c r="R40" s="1608"/>
      <c r="S40" s="1608"/>
      <c r="T40" s="1608"/>
      <c r="U40" s="1608"/>
      <c r="V40" s="1608"/>
      <c r="W40" s="1608"/>
      <c r="X40" s="1608"/>
      <c r="Y40" s="1608"/>
      <c r="Z40" s="1608"/>
      <c r="AA40" s="1608"/>
      <c r="AB40" s="1503"/>
      <c r="AC40" s="1517"/>
      <c r="AD40" s="1517"/>
      <c r="AE40" s="1503"/>
      <c r="AF40" s="1517"/>
      <c r="AG40" s="1517"/>
      <c r="AH40" s="1503"/>
      <c r="AI40" s="1517"/>
      <c r="AJ40" s="1503"/>
    </row>
    <row r="41" spans="2:36" s="156" customFormat="1" ht="33" customHeight="1" x14ac:dyDescent="0.25">
      <c r="B41" s="1608" t="s">
        <v>761</v>
      </c>
      <c r="C41" s="1608"/>
      <c r="D41" s="1608"/>
      <c r="E41" s="1608"/>
      <c r="F41" s="1608"/>
      <c r="G41" s="1608"/>
      <c r="H41" s="1608"/>
      <c r="I41" s="1608"/>
      <c r="J41" s="1608"/>
      <c r="K41" s="1608"/>
      <c r="L41" s="1608"/>
      <c r="M41" s="1608"/>
      <c r="N41" s="1608"/>
      <c r="O41" s="1608"/>
      <c r="P41" s="1608"/>
      <c r="Q41" s="1608"/>
      <c r="R41" s="1608"/>
      <c r="S41" s="1608"/>
      <c r="T41" s="1608"/>
      <c r="U41" s="1608"/>
      <c r="V41" s="1608"/>
      <c r="W41" s="1608"/>
      <c r="X41" s="1608"/>
      <c r="Y41" s="1608"/>
      <c r="Z41" s="1608"/>
      <c r="AA41" s="1608"/>
      <c r="AB41" s="1503"/>
      <c r="AC41" s="1517"/>
      <c r="AD41" s="1517"/>
      <c r="AE41" s="1503"/>
      <c r="AF41" s="1517"/>
      <c r="AG41" s="1517"/>
      <c r="AH41" s="1503"/>
      <c r="AI41" s="1517"/>
      <c r="AJ41" s="1503"/>
    </row>
    <row r="42" spans="2:36" s="156" customFormat="1" ht="10.5" customHeight="1" x14ac:dyDescent="0.25">
      <c r="B42" s="1511"/>
      <c r="C42" s="1503"/>
      <c r="D42" s="1509"/>
      <c r="E42" s="1519"/>
      <c r="F42" s="1503"/>
      <c r="G42" s="1503"/>
      <c r="H42" s="1517"/>
      <c r="I42" s="1517"/>
      <c r="J42" s="1503"/>
      <c r="K42" s="1517"/>
      <c r="L42" s="1517"/>
      <c r="M42" s="1503"/>
      <c r="N42" s="1517"/>
      <c r="O42" s="1517"/>
      <c r="P42" s="1503"/>
      <c r="Q42" s="1517"/>
      <c r="R42" s="1517"/>
      <c r="S42" s="1503"/>
      <c r="T42" s="1517"/>
      <c r="U42" s="1517"/>
      <c r="V42" s="1518"/>
      <c r="W42" s="1517"/>
      <c r="X42" s="1517"/>
      <c r="Y42" s="1503"/>
      <c r="Z42" s="1517"/>
      <c r="AA42" s="1517"/>
      <c r="AB42" s="1503"/>
      <c r="AC42" s="1517"/>
      <c r="AD42" s="1517"/>
      <c r="AE42" s="1503"/>
      <c r="AF42" s="1517"/>
      <c r="AG42" s="1517"/>
      <c r="AH42" s="1503"/>
      <c r="AI42" s="1517"/>
      <c r="AJ42" s="1503"/>
    </row>
    <row r="43" spans="2:36" s="156" customFormat="1" ht="20.149999999999999" customHeight="1" x14ac:dyDescent="0.25">
      <c r="B43" s="1511" t="s">
        <v>770</v>
      </c>
      <c r="C43" s="1503"/>
      <c r="D43" s="1509"/>
      <c r="E43" s="1519"/>
      <c r="F43" s="1503"/>
      <c r="G43" s="1503"/>
      <c r="H43" s="1517"/>
      <c r="I43" s="1517"/>
      <c r="J43" s="1503"/>
      <c r="K43" s="1517"/>
      <c r="L43" s="1517"/>
      <c r="M43" s="1503"/>
      <c r="N43" s="1517"/>
      <c r="O43" s="1517"/>
      <c r="P43" s="1503"/>
      <c r="Q43" s="1517"/>
      <c r="R43" s="1517"/>
      <c r="S43" s="1503"/>
      <c r="T43" s="1517"/>
      <c r="U43" s="1517"/>
      <c r="V43" s="1518"/>
      <c r="W43" s="1517"/>
      <c r="X43" s="1517"/>
      <c r="Y43" s="1503"/>
      <c r="Z43" s="1517"/>
      <c r="AA43" s="1517"/>
      <c r="AB43" s="1503"/>
      <c r="AC43" s="1517"/>
      <c r="AD43" s="1517"/>
      <c r="AE43" s="1503"/>
      <c r="AF43" s="1517"/>
      <c r="AG43" s="1517"/>
      <c r="AH43" s="1503"/>
      <c r="AI43" s="1517"/>
      <c r="AJ43" s="1503"/>
    </row>
    <row r="44" spans="2:36" s="156" customFormat="1" ht="20.149999999999999" customHeight="1" x14ac:dyDescent="0.25">
      <c r="B44" s="1576" t="s">
        <v>78</v>
      </c>
      <c r="C44" s="1503"/>
      <c r="D44" s="1509"/>
      <c r="E44" s="1519"/>
      <c r="F44" s="1503"/>
      <c r="G44" s="1503"/>
      <c r="H44" s="1517"/>
      <c r="I44" s="1517"/>
      <c r="J44" s="1503"/>
      <c r="K44" s="1517"/>
      <c r="L44" s="1517"/>
      <c r="M44" s="1503"/>
      <c r="N44" s="1517"/>
      <c r="O44" s="1517"/>
      <c r="P44" s="1503"/>
      <c r="Q44" s="1517"/>
      <c r="R44" s="1517"/>
      <c r="S44" s="1503"/>
      <c r="T44" s="1517"/>
      <c r="U44" s="1517"/>
      <c r="V44" s="1518"/>
      <c r="W44" s="1517"/>
      <c r="X44" s="1517"/>
      <c r="Y44" s="1503"/>
      <c r="Z44" s="1517"/>
      <c r="AA44" s="1517"/>
      <c r="AB44" s="1503"/>
      <c r="AC44" s="1517"/>
      <c r="AD44" s="1517"/>
      <c r="AE44" s="1503"/>
      <c r="AF44" s="1517"/>
      <c r="AG44" s="1517"/>
      <c r="AH44" s="1503"/>
      <c r="AI44" s="1517"/>
      <c r="AJ44" s="1503"/>
    </row>
    <row r="45" spans="2:36" s="156" customFormat="1" ht="20.149999999999999" customHeight="1" x14ac:dyDescent="0.25">
      <c r="B45" s="1576" t="s">
        <v>79</v>
      </c>
      <c r="C45" s="1503"/>
      <c r="D45" s="1509"/>
      <c r="E45" s="1519"/>
      <c r="F45" s="1503"/>
      <c r="G45" s="1503"/>
      <c r="H45" s="1517"/>
      <c r="I45" s="1503"/>
      <c r="J45" s="1503"/>
      <c r="K45" s="1503"/>
      <c r="L45" s="1503"/>
      <c r="M45" s="1503"/>
      <c r="N45" s="1517"/>
      <c r="O45" s="1517"/>
      <c r="P45" s="1503"/>
      <c r="Q45" s="1517"/>
      <c r="R45" s="1517"/>
      <c r="S45" s="1503"/>
      <c r="T45" s="1517"/>
      <c r="U45" s="1517"/>
      <c r="V45" s="1518"/>
      <c r="W45" s="1517"/>
      <c r="X45" s="1517"/>
      <c r="Y45" s="1503"/>
      <c r="Z45" s="1517"/>
      <c r="AA45" s="1517"/>
      <c r="AB45" s="1503"/>
      <c r="AC45" s="1517"/>
      <c r="AD45" s="1517"/>
      <c r="AE45" s="1503"/>
      <c r="AF45" s="1517"/>
      <c r="AG45" s="1517"/>
      <c r="AH45" s="1503"/>
      <c r="AI45" s="1517"/>
      <c r="AJ45" s="1503"/>
    </row>
    <row r="46" spans="2:36" s="156" customFormat="1" ht="8.25" customHeight="1" x14ac:dyDescent="0.25">
      <c r="B46" s="1576"/>
      <c r="C46" s="1503"/>
      <c r="D46" s="1509"/>
      <c r="E46" s="1519"/>
      <c r="F46" s="1503"/>
      <c r="G46" s="1503"/>
      <c r="H46" s="1517"/>
      <c r="I46" s="1503"/>
      <c r="J46" s="1503"/>
      <c r="K46" s="1503"/>
      <c r="L46" s="1503"/>
      <c r="M46" s="1503"/>
      <c r="N46" s="1517"/>
      <c r="O46" s="1517"/>
      <c r="P46" s="1503"/>
      <c r="Q46" s="1517"/>
      <c r="R46" s="1517"/>
      <c r="S46" s="1501"/>
      <c r="T46" s="1514"/>
      <c r="U46" s="1514"/>
      <c r="V46" s="1515"/>
      <c r="W46" s="1514"/>
      <c r="X46" s="1514"/>
      <c r="Y46" s="1501"/>
      <c r="Z46" s="1514"/>
      <c r="AA46" s="1514"/>
      <c r="AB46" s="1501"/>
      <c r="AC46" s="1517"/>
      <c r="AD46" s="1517"/>
      <c r="AE46" s="1503"/>
      <c r="AF46" s="1517"/>
      <c r="AG46" s="1517"/>
      <c r="AH46" s="1503"/>
      <c r="AI46" s="1517"/>
      <c r="AJ46" s="1503"/>
    </row>
    <row r="47" spans="2:36" s="156" customFormat="1" ht="20.149999999999999" customHeight="1" x14ac:dyDescent="0.25">
      <c r="B47" s="1576" t="s">
        <v>768</v>
      </c>
      <c r="C47" s="1503"/>
      <c r="D47" s="1509"/>
      <c r="E47" s="1519"/>
      <c r="F47" s="1503"/>
      <c r="G47" s="1503"/>
      <c r="H47" s="1517"/>
      <c r="I47" s="1517"/>
      <c r="J47" s="1503"/>
      <c r="K47" s="1517"/>
      <c r="L47" s="1517"/>
      <c r="M47" s="1503"/>
      <c r="N47" s="1517"/>
      <c r="O47" s="1517"/>
      <c r="P47" s="1503"/>
      <c r="Q47" s="1517"/>
      <c r="R47" s="1517"/>
      <c r="S47" s="1503"/>
      <c r="T47" s="1517"/>
      <c r="U47" s="1517"/>
      <c r="V47" s="1518"/>
      <c r="W47" s="1517"/>
      <c r="X47" s="1517"/>
      <c r="Y47" s="1503"/>
      <c r="Z47" s="1517"/>
      <c r="AA47" s="1517"/>
      <c r="AB47" s="1503"/>
      <c r="AC47" s="1517"/>
      <c r="AD47" s="1517"/>
      <c r="AE47" s="1503"/>
      <c r="AF47" s="1517"/>
      <c r="AG47" s="1517"/>
      <c r="AH47" s="1503"/>
      <c r="AI47" s="1517"/>
      <c r="AJ47" s="1503"/>
    </row>
    <row r="48" spans="2:36" s="158" customFormat="1" ht="17.25" customHeight="1" x14ac:dyDescent="0.25">
      <c r="B48" s="1577" t="s">
        <v>769</v>
      </c>
      <c r="C48" s="1481"/>
      <c r="D48" s="1478"/>
      <c r="E48" s="1482"/>
      <c r="F48" s="1481"/>
      <c r="G48" s="1481"/>
      <c r="H48" s="1483"/>
      <c r="I48" s="1483"/>
      <c r="J48" s="1481"/>
      <c r="K48" s="1483"/>
      <c r="L48" s="1483"/>
      <c r="M48" s="1481"/>
      <c r="N48" s="1483"/>
      <c r="O48" s="1483"/>
      <c r="P48" s="1481"/>
      <c r="Q48" s="1483"/>
      <c r="R48" s="1483"/>
      <c r="S48" s="1481"/>
      <c r="T48" s="1483"/>
      <c r="U48" s="1483"/>
      <c r="V48" s="1484"/>
      <c r="W48" s="1483"/>
      <c r="X48" s="1483"/>
      <c r="Y48" s="1481"/>
      <c r="Z48" s="1483"/>
      <c r="AA48" s="1483"/>
      <c r="AB48" s="1481"/>
      <c r="AC48" s="1483"/>
      <c r="AD48" s="1483"/>
      <c r="AE48" s="1481"/>
      <c r="AF48" s="1483"/>
      <c r="AG48" s="1483"/>
      <c r="AH48" s="1481"/>
      <c r="AI48" s="1483"/>
      <c r="AJ48" s="1481"/>
    </row>
    <row r="49" spans="4:35" s="161" customFormat="1" ht="20.149999999999999" customHeight="1" x14ac:dyDescent="0.25">
      <c r="D49" s="6"/>
      <c r="E49" s="191"/>
      <c r="H49" s="186"/>
      <c r="I49" s="186"/>
      <c r="K49" s="186"/>
      <c r="L49" s="186"/>
      <c r="N49" s="186"/>
      <c r="O49" s="186"/>
      <c r="Q49" s="186"/>
      <c r="R49" s="186"/>
      <c r="T49" s="186"/>
      <c r="U49" s="186"/>
      <c r="V49" s="1466"/>
      <c r="W49" s="186"/>
      <c r="X49" s="186"/>
      <c r="Z49" s="186"/>
      <c r="AA49" s="186"/>
      <c r="AC49" s="186"/>
      <c r="AD49" s="186"/>
      <c r="AF49" s="186"/>
      <c r="AG49" s="186"/>
      <c r="AI49" s="186"/>
    </row>
    <row r="50" spans="4:35" s="161" customFormat="1" ht="20.149999999999999" customHeight="1" x14ac:dyDescent="0.25">
      <c r="D50" s="6"/>
      <c r="E50" s="191"/>
      <c r="H50" s="186"/>
      <c r="N50" s="186"/>
      <c r="O50" s="186"/>
      <c r="Q50" s="186"/>
      <c r="R50" s="186"/>
      <c r="T50" s="186"/>
      <c r="U50" s="186"/>
      <c r="V50" s="1466"/>
      <c r="W50" s="186"/>
      <c r="X50" s="186"/>
      <c r="Z50" s="186"/>
      <c r="AA50" s="186"/>
      <c r="AC50" s="186"/>
      <c r="AD50" s="186"/>
      <c r="AF50" s="186"/>
      <c r="AG50" s="186"/>
      <c r="AI50" s="186"/>
    </row>
  </sheetData>
  <sheetProtection selectLockedCells="1" selectUnlockedCells="1"/>
  <mergeCells count="22">
    <mergeCell ref="B41:AA41"/>
    <mergeCell ref="AE7:AG7"/>
    <mergeCell ref="AH7:AJ7"/>
    <mergeCell ref="B4:AA4"/>
    <mergeCell ref="B36:AA36"/>
    <mergeCell ref="B39:AA39"/>
    <mergeCell ref="B40:AA40"/>
    <mergeCell ref="M7:O7"/>
    <mergeCell ref="P7:R7"/>
    <mergeCell ref="S7:U7"/>
    <mergeCell ref="V7:X7"/>
    <mergeCell ref="Y7:AA7"/>
    <mergeCell ref="AB7:AD7"/>
    <mergeCell ref="B2:AJ2"/>
    <mergeCell ref="B3:AJ3"/>
    <mergeCell ref="B5:AJ5"/>
    <mergeCell ref="B6:AJ6"/>
    <mergeCell ref="B7:B8"/>
    <mergeCell ref="D7:D8"/>
    <mergeCell ref="E7:E8"/>
    <mergeCell ref="G7:I7"/>
    <mergeCell ref="J7:L7"/>
  </mergeCells>
  <printOptions horizontalCentered="1"/>
  <pageMargins left="0" right="0" top="0.98425196850393704" bottom="0.59055118110236227" header="0" footer="0"/>
  <pageSetup scale="74" firstPageNumber="0" orientation="portrait" r:id="rId1"/>
  <headerFooter alignWithMargins="0"/>
  <ignoredErrors>
    <ignoredError sqref="J10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0.39997558519241921"/>
    <pageSetUpPr fitToPage="1"/>
  </sheetPr>
  <dimension ref="B1:AL50"/>
  <sheetViews>
    <sheetView showGridLines="0" zoomScale="130" zoomScaleNormal="130" workbookViewId="0">
      <selection activeCell="B4" sqref="B4:AD4"/>
    </sheetView>
  </sheetViews>
  <sheetFormatPr baseColWidth="10" defaultColWidth="11.453125" defaultRowHeight="13" x14ac:dyDescent="0.25"/>
  <cols>
    <col min="1" max="1" width="3.453125" style="30" customWidth="1"/>
    <col min="2" max="2" width="32.54296875" style="30" customWidth="1"/>
    <col min="3" max="3" width="0.81640625" style="30" customWidth="1"/>
    <col min="4" max="4" width="15.7265625" style="31" hidden="1" customWidth="1"/>
    <col min="5" max="5" width="9.26953125" style="193" hidden="1" customWidth="1"/>
    <col min="6" max="6" width="1" style="30" hidden="1" customWidth="1"/>
    <col min="7" max="7" width="15.7265625" style="30" hidden="1" customWidth="1"/>
    <col min="8" max="9" width="7.7265625" style="185" hidden="1" customWidth="1"/>
    <col min="10" max="10" width="15.7265625" style="30" hidden="1" customWidth="1"/>
    <col min="11" max="12" width="7.7265625" style="185" hidden="1" customWidth="1"/>
    <col min="13" max="13" width="15.7265625" style="30" hidden="1" customWidth="1"/>
    <col min="14" max="15" width="7.7265625" style="185" hidden="1" customWidth="1"/>
    <col min="16" max="16" width="15.7265625" style="30" hidden="1" customWidth="1"/>
    <col min="17" max="18" width="7.7265625" style="185" hidden="1" customWidth="1"/>
    <col min="19" max="19" width="15.7265625" style="30" hidden="1" customWidth="1"/>
    <col min="20" max="21" width="7.7265625" style="185" hidden="1" customWidth="1"/>
    <col min="22" max="22" width="15.7265625" style="1465" hidden="1" customWidth="1"/>
    <col min="23" max="24" width="7.7265625" style="185" hidden="1" customWidth="1"/>
    <col min="25" max="25" width="15.7265625" style="30" hidden="1" customWidth="1"/>
    <col min="26" max="27" width="7.7265625" style="185" hidden="1" customWidth="1"/>
    <col min="28" max="28" width="15.7265625" style="30" customWidth="1"/>
    <col min="29" max="30" width="7.7265625" style="185" customWidth="1"/>
    <col min="31" max="31" width="15.7265625" style="30" hidden="1" customWidth="1"/>
    <col min="32" max="33" width="7.7265625" style="185" hidden="1" customWidth="1"/>
    <col min="34" max="34" width="15.7265625" style="30" hidden="1" customWidth="1"/>
    <col min="35" max="35" width="7.7265625" style="185" hidden="1" customWidth="1"/>
    <col min="36" max="36" width="7.7265625" style="30" hidden="1" customWidth="1"/>
    <col min="37" max="16384" width="11.453125" style="30"/>
  </cols>
  <sheetData>
    <row r="1" spans="2:36" ht="12" customHeight="1" x14ac:dyDescent="0.25">
      <c r="B1" s="137"/>
      <c r="C1" s="138"/>
      <c r="D1" s="138"/>
      <c r="E1" s="182"/>
      <c r="F1" s="138"/>
      <c r="G1" s="138"/>
      <c r="H1" s="182"/>
      <c r="I1" s="182"/>
      <c r="J1" s="138"/>
      <c r="K1" s="182"/>
      <c r="L1" s="182"/>
      <c r="M1" s="138"/>
      <c r="N1" s="182"/>
      <c r="O1" s="182"/>
      <c r="P1" s="138"/>
      <c r="Q1" s="182"/>
      <c r="R1" s="182"/>
      <c r="S1" s="138"/>
      <c r="T1" s="182"/>
      <c r="U1" s="182"/>
      <c r="V1" s="1457"/>
      <c r="W1" s="182"/>
      <c r="X1" s="182"/>
      <c r="Y1" s="138"/>
      <c r="Z1" s="182"/>
      <c r="AA1" s="182"/>
      <c r="AB1" s="138"/>
      <c r="AC1" s="182"/>
      <c r="AD1" s="182"/>
      <c r="AE1" s="138"/>
      <c r="AF1" s="182"/>
      <c r="AG1" s="182"/>
      <c r="AH1" s="138"/>
      <c r="AI1" s="182"/>
    </row>
    <row r="2" spans="2:36" ht="21" customHeight="1" x14ac:dyDescent="0.25">
      <c r="B2" s="1605" t="s">
        <v>0</v>
      </c>
      <c r="C2" s="1605"/>
      <c r="D2" s="1605"/>
      <c r="E2" s="1605"/>
      <c r="F2" s="1605"/>
      <c r="G2" s="1605"/>
      <c r="H2" s="1605"/>
      <c r="I2" s="1605"/>
      <c r="J2" s="1605"/>
      <c r="K2" s="1605"/>
      <c r="L2" s="1605"/>
      <c r="M2" s="1605"/>
      <c r="N2" s="1605"/>
      <c r="O2" s="1605"/>
      <c r="P2" s="1605"/>
      <c r="Q2" s="1605"/>
      <c r="R2" s="1605"/>
      <c r="S2" s="1605"/>
      <c r="T2" s="1605"/>
      <c r="U2" s="1605"/>
      <c r="V2" s="1605"/>
      <c r="W2" s="1605"/>
      <c r="X2" s="1605"/>
      <c r="Y2" s="1605"/>
      <c r="Z2" s="1605"/>
      <c r="AA2" s="1605"/>
      <c r="AB2" s="1605"/>
      <c r="AC2" s="1605"/>
      <c r="AD2" s="1605"/>
      <c r="AE2" s="1605"/>
      <c r="AF2" s="1605"/>
      <c r="AG2" s="1605"/>
      <c r="AH2" s="1605"/>
      <c r="AI2" s="1605"/>
      <c r="AJ2" s="1605"/>
    </row>
    <row r="3" spans="2:36" ht="21" customHeight="1" x14ac:dyDescent="0.25">
      <c r="B3" s="1605" t="s">
        <v>1</v>
      </c>
      <c r="C3" s="1605"/>
      <c r="D3" s="1605"/>
      <c r="E3" s="1605"/>
      <c r="F3" s="1605"/>
      <c r="G3" s="1605"/>
      <c r="H3" s="1605"/>
      <c r="I3" s="1605"/>
      <c r="J3" s="1605"/>
      <c r="K3" s="1605"/>
      <c r="L3" s="1605"/>
      <c r="M3" s="1605"/>
      <c r="N3" s="1605"/>
      <c r="O3" s="1605"/>
      <c r="P3" s="1605"/>
      <c r="Q3" s="1605"/>
      <c r="R3" s="1605"/>
      <c r="S3" s="1605"/>
      <c r="T3" s="1605"/>
      <c r="U3" s="1605"/>
      <c r="V3" s="1605"/>
      <c r="W3" s="1605"/>
      <c r="X3" s="1605"/>
      <c r="Y3" s="1605"/>
      <c r="Z3" s="1605"/>
      <c r="AA3" s="1605"/>
      <c r="AB3" s="1605"/>
      <c r="AC3" s="1605"/>
      <c r="AD3" s="1605"/>
      <c r="AE3" s="1605"/>
      <c r="AF3" s="1605"/>
      <c r="AG3" s="1605"/>
      <c r="AH3" s="1605"/>
      <c r="AI3" s="1605"/>
      <c r="AJ3" s="1605"/>
    </row>
    <row r="4" spans="2:36" ht="54.75" customHeight="1" x14ac:dyDescent="0.25">
      <c r="B4" s="1606" t="s">
        <v>774</v>
      </c>
      <c r="C4" s="1606"/>
      <c r="D4" s="1606"/>
      <c r="E4" s="1606"/>
      <c r="F4" s="1606"/>
      <c r="G4" s="1606"/>
      <c r="H4" s="1606"/>
      <c r="I4" s="1606"/>
      <c r="J4" s="1606"/>
      <c r="K4" s="1606"/>
      <c r="L4" s="1606"/>
      <c r="M4" s="1606"/>
      <c r="N4" s="1606"/>
      <c r="O4" s="1606"/>
      <c r="P4" s="1606"/>
      <c r="Q4" s="1606"/>
      <c r="R4" s="1606"/>
      <c r="S4" s="1606"/>
      <c r="T4" s="1606"/>
      <c r="U4" s="1606"/>
      <c r="V4" s="1606"/>
      <c r="W4" s="1606"/>
      <c r="X4" s="1606"/>
      <c r="Y4" s="1606"/>
      <c r="Z4" s="1606"/>
      <c r="AA4" s="1606"/>
      <c r="AB4" s="1606"/>
      <c r="AC4" s="1606"/>
      <c r="AD4" s="1606"/>
      <c r="AE4" s="1566"/>
      <c r="AF4" s="1566"/>
      <c r="AG4" s="1566"/>
      <c r="AH4" s="1566"/>
      <c r="AI4" s="1566"/>
      <c r="AJ4" s="1566"/>
    </row>
    <row r="5" spans="2:36" ht="21" customHeight="1" x14ac:dyDescent="0.25">
      <c r="B5" s="1605" t="s">
        <v>732</v>
      </c>
      <c r="C5" s="1605"/>
      <c r="D5" s="1605"/>
      <c r="E5" s="1605"/>
      <c r="F5" s="1605"/>
      <c r="G5" s="1605"/>
      <c r="H5" s="1605"/>
      <c r="I5" s="1605"/>
      <c r="J5" s="1605"/>
      <c r="K5" s="1605"/>
      <c r="L5" s="1605"/>
      <c r="M5" s="1605"/>
      <c r="N5" s="1605"/>
      <c r="O5" s="1605"/>
      <c r="P5" s="1605"/>
      <c r="Q5" s="1605"/>
      <c r="R5" s="1605"/>
      <c r="S5" s="1605"/>
      <c r="T5" s="1605"/>
      <c r="U5" s="1605"/>
      <c r="V5" s="1605"/>
      <c r="W5" s="1605"/>
      <c r="X5" s="1605"/>
      <c r="Y5" s="1605"/>
      <c r="Z5" s="1605"/>
      <c r="AA5" s="1605"/>
      <c r="AB5" s="1605"/>
      <c r="AC5" s="1605"/>
      <c r="AD5" s="1605"/>
      <c r="AE5" s="1605"/>
      <c r="AF5" s="1605"/>
      <c r="AG5" s="1605"/>
      <c r="AH5" s="1605"/>
      <c r="AI5" s="1605"/>
      <c r="AJ5" s="1605"/>
    </row>
    <row r="6" spans="2:36" ht="21" customHeight="1" x14ac:dyDescent="0.25">
      <c r="B6" s="1605" t="s">
        <v>4</v>
      </c>
      <c r="C6" s="1605"/>
      <c r="D6" s="1605"/>
      <c r="E6" s="1605"/>
      <c r="F6" s="1605"/>
      <c r="G6" s="1605"/>
      <c r="H6" s="1605"/>
      <c r="I6" s="1605"/>
      <c r="J6" s="1605"/>
      <c r="K6" s="1605"/>
      <c r="L6" s="1605"/>
      <c r="M6" s="1605"/>
      <c r="N6" s="1605"/>
      <c r="O6" s="1605"/>
      <c r="P6" s="1605"/>
      <c r="Q6" s="1605"/>
      <c r="R6" s="1605"/>
      <c r="S6" s="1605"/>
      <c r="T6" s="1605"/>
      <c r="U6" s="1605"/>
      <c r="V6" s="1605"/>
      <c r="W6" s="1605"/>
      <c r="X6" s="1605"/>
      <c r="Y6" s="1605"/>
      <c r="Z6" s="1605"/>
      <c r="AA6" s="1605"/>
      <c r="AB6" s="1605"/>
      <c r="AC6" s="1605"/>
      <c r="AD6" s="1605"/>
      <c r="AE6" s="1605"/>
      <c r="AF6" s="1605"/>
      <c r="AG6" s="1605"/>
      <c r="AH6" s="1605"/>
      <c r="AI6" s="1605"/>
      <c r="AJ6" s="1605"/>
    </row>
    <row r="7" spans="2:36" s="151" customFormat="1" ht="34.5" customHeight="1" x14ac:dyDescent="0.25">
      <c r="B7" s="1598" t="s">
        <v>767</v>
      </c>
      <c r="C7" s="1485"/>
      <c r="D7" s="1598" t="s">
        <v>741</v>
      </c>
      <c r="E7" s="1600" t="s">
        <v>742</v>
      </c>
      <c r="F7" s="1485"/>
      <c r="G7" s="1602" t="s">
        <v>760</v>
      </c>
      <c r="H7" s="1603"/>
      <c r="I7" s="1604"/>
      <c r="J7" s="1602" t="s">
        <v>76</v>
      </c>
      <c r="K7" s="1603"/>
      <c r="L7" s="1604"/>
      <c r="M7" s="1597" t="s">
        <v>60</v>
      </c>
      <c r="N7" s="1597"/>
      <c r="O7" s="1597"/>
      <c r="P7" s="1597" t="s">
        <v>738</v>
      </c>
      <c r="Q7" s="1597"/>
      <c r="R7" s="1597"/>
      <c r="S7" s="1597" t="s">
        <v>739</v>
      </c>
      <c r="T7" s="1597"/>
      <c r="U7" s="1597"/>
      <c r="V7" s="1597" t="s">
        <v>736</v>
      </c>
      <c r="W7" s="1597"/>
      <c r="X7" s="1597"/>
      <c r="Y7" s="1597" t="s">
        <v>737</v>
      </c>
      <c r="Z7" s="1597"/>
      <c r="AA7" s="1597"/>
      <c r="AB7" s="1597" t="s">
        <v>63</v>
      </c>
      <c r="AC7" s="1597"/>
      <c r="AD7" s="1597"/>
      <c r="AE7" s="1597" t="s">
        <v>64</v>
      </c>
      <c r="AF7" s="1597"/>
      <c r="AG7" s="1597"/>
      <c r="AH7" s="1597" t="s">
        <v>735</v>
      </c>
      <c r="AI7" s="1597"/>
      <c r="AJ7" s="1597"/>
    </row>
    <row r="8" spans="2:36" s="14" customFormat="1" ht="34.5" customHeight="1" x14ac:dyDescent="0.25">
      <c r="B8" s="1599"/>
      <c r="C8" s="1487"/>
      <c r="D8" s="1599"/>
      <c r="E8" s="1601"/>
      <c r="F8" s="1487"/>
      <c r="G8" s="1488" t="s">
        <v>733</v>
      </c>
      <c r="H8" s="1489" t="s">
        <v>734</v>
      </c>
      <c r="I8" s="1490" t="s">
        <v>740</v>
      </c>
      <c r="J8" s="1491" t="s">
        <v>733</v>
      </c>
      <c r="K8" s="1491" t="s">
        <v>734</v>
      </c>
      <c r="L8" s="1491" t="s">
        <v>740</v>
      </c>
      <c r="M8" s="1492" t="s">
        <v>733</v>
      </c>
      <c r="N8" s="1493" t="s">
        <v>734</v>
      </c>
      <c r="O8" s="1493" t="s">
        <v>740</v>
      </c>
      <c r="P8" s="1492" t="s">
        <v>733</v>
      </c>
      <c r="Q8" s="1493" t="s">
        <v>734</v>
      </c>
      <c r="R8" s="1493" t="s">
        <v>740</v>
      </c>
      <c r="S8" s="1492" t="s">
        <v>733</v>
      </c>
      <c r="T8" s="1493" t="s">
        <v>734</v>
      </c>
      <c r="U8" s="1493" t="s">
        <v>740</v>
      </c>
      <c r="V8" s="1492" t="s">
        <v>733</v>
      </c>
      <c r="W8" s="1493" t="s">
        <v>734</v>
      </c>
      <c r="X8" s="1493" t="s">
        <v>740</v>
      </c>
      <c r="Y8" s="1492" t="s">
        <v>733</v>
      </c>
      <c r="Z8" s="1493" t="s">
        <v>734</v>
      </c>
      <c r="AA8" s="1489" t="s">
        <v>740</v>
      </c>
      <c r="AB8" s="1486" t="s">
        <v>733</v>
      </c>
      <c r="AC8" s="1520" t="s">
        <v>734</v>
      </c>
      <c r="AD8" s="1522" t="s">
        <v>740</v>
      </c>
      <c r="AE8" s="1521" t="s">
        <v>733</v>
      </c>
      <c r="AF8" s="1493" t="s">
        <v>734</v>
      </c>
      <c r="AG8" s="1493" t="s">
        <v>740</v>
      </c>
      <c r="AH8" s="1492" t="s">
        <v>733</v>
      </c>
      <c r="AI8" s="1489" t="s">
        <v>734</v>
      </c>
      <c r="AJ8" s="1522" t="s">
        <v>740</v>
      </c>
    </row>
    <row r="9" spans="2:36" s="14" customFormat="1" ht="6" customHeight="1" x14ac:dyDescent="0.25">
      <c r="B9" s="1494"/>
      <c r="C9" s="1494"/>
      <c r="D9" s="1495"/>
      <c r="E9" s="1496"/>
      <c r="F9" s="1494"/>
      <c r="G9" s="1494"/>
      <c r="H9" s="1497"/>
      <c r="I9" s="1494"/>
      <c r="J9" s="1494"/>
      <c r="K9" s="1494"/>
      <c r="L9" s="1494"/>
      <c r="M9" s="1494"/>
      <c r="N9" s="1494"/>
      <c r="O9" s="1494"/>
      <c r="P9" s="1494"/>
      <c r="Q9" s="1494"/>
      <c r="R9" s="1494"/>
      <c r="S9" s="1494"/>
      <c r="T9" s="1494"/>
      <c r="U9" s="1494"/>
      <c r="V9" s="1498"/>
      <c r="W9" s="1494"/>
      <c r="X9" s="1494"/>
      <c r="Y9" s="1494"/>
      <c r="Z9" s="1494"/>
      <c r="AA9" s="1494"/>
      <c r="AB9" s="1494"/>
      <c r="AC9" s="1494"/>
      <c r="AD9" s="1494"/>
      <c r="AE9" s="1494"/>
      <c r="AF9" s="1494"/>
      <c r="AG9" s="1494"/>
      <c r="AH9" s="1494"/>
      <c r="AI9" s="1494"/>
      <c r="AJ9" s="1494"/>
    </row>
    <row r="10" spans="2:36" s="1499" customFormat="1" ht="24" customHeight="1" x14ac:dyDescent="0.25">
      <c r="B10" s="1524" t="s">
        <v>17</v>
      </c>
      <c r="C10" s="1525"/>
      <c r="D10" s="1526">
        <f>G10+AB10+AE10+AH10</f>
        <v>11059579210.6</v>
      </c>
      <c r="E10" s="1527">
        <f>((G10*H10)+(AB10*AC10)+(AE10*AF10)+(AH10*AI10))/D10</f>
        <v>4.65E-2</v>
      </c>
      <c r="F10" s="1525"/>
      <c r="G10" s="1528">
        <f>G12+G16+G24+G26+G33</f>
        <v>9084776454.4500008</v>
      </c>
      <c r="H10" s="1529">
        <f>((G12*H12)+(G16*H16)+(G24*H24)+(G26*H26)+(G33*H33))/G10</f>
        <v>4.7100000000000003E-2</v>
      </c>
      <c r="I10" s="1530">
        <f>(($J$12*I12)+($J$16*I16)+($J$24*I24)+($J$26*I26)+($J$33*I33))/$J10</f>
        <v>6.15</v>
      </c>
      <c r="J10" s="1528">
        <f>J12+J16+J24+J26+J33</f>
        <v>548856782.88999999</v>
      </c>
      <c r="K10" s="1529">
        <f>(($J$12*K12)+($J$16*K16)+($J$24*K24)+($J$26*K26)+($J$33*K33))/$J10</f>
        <v>3.5200000000000002E-2</v>
      </c>
      <c r="L10" s="1530">
        <f>(($J$12*L12)+($J$16*L16)+($J$24*L24)+($J$26*L26)+($J$33*L33))/$J10</f>
        <v>2.2000000000000002</v>
      </c>
      <c r="M10" s="1528">
        <f>M12+M16+M24+M26+M33</f>
        <v>8535919671.5600004</v>
      </c>
      <c r="N10" s="1529">
        <f>((M12*N12)+(M16*N16)+(M24*N24)+(M26*N26)+(M33*N33))/M10</f>
        <v>4.7899999999999998E-2</v>
      </c>
      <c r="O10" s="1530">
        <f>(($M$12*O12)+($M$16*O16)+($M$24*O24)+($M$26*O26)+($M$33*O33))/$M10</f>
        <v>10.35</v>
      </c>
      <c r="P10" s="1528">
        <f>P12+P16+P24+P26+P33</f>
        <v>2910389428.27</v>
      </c>
      <c r="Q10" s="1531">
        <f>((P12*Q12)+(P16*Q16)+(P24*Q24)+(P26*Q26)+(P33*Q33))/P10</f>
        <v>4.9399999999999999E-2</v>
      </c>
      <c r="R10" s="1530">
        <f>(($P$12*R12)+($P$16*R16)+($P$24*R24)+($P$26*R26)+($P$33*R33))/$P10</f>
        <v>10.87</v>
      </c>
      <c r="S10" s="1528">
        <f>S12+S16+S24+S26+S33</f>
        <v>5414285592.8199997</v>
      </c>
      <c r="T10" s="1529">
        <f>((S12*T12)+(S16*T16)+(S24*T24)+(S26*T26)+(S33*T33))/S10</f>
        <v>4.7E-2</v>
      </c>
      <c r="U10" s="1530">
        <f>(($S$12*U12)+($S$16*U16)+($S$24*U24)+($S$26*U26)+($S$33*U33))/$S10</f>
        <v>10.25</v>
      </c>
      <c r="V10" s="1528">
        <f>V12+V16+V24+V26+V33</f>
        <v>197711916.50999999</v>
      </c>
      <c r="W10" s="1529">
        <f>((V12*W12)+(V16*W16)+(V24*W24)+(V26*W26)+(V33*W33))/V10</f>
        <v>5.0799999999999998E-2</v>
      </c>
      <c r="X10" s="1530">
        <f>(($V$12*X12)+($V$16*X16)+($V$24*X24)+($V$26*X26)+($V$33*X33))/$V10</f>
        <v>5.73</v>
      </c>
      <c r="Y10" s="1528">
        <f>Y12+Y16+Y24+Y26+Y33</f>
        <v>13532733.960000001</v>
      </c>
      <c r="Z10" s="1529">
        <f>((Y12*Z12)+(Y16*Z16)+(Y24*Z24)+(Y26*Z26)+(Y33*Z33))/Y10</f>
        <v>4.58E-2</v>
      </c>
      <c r="AA10" s="1530">
        <f>(($Y$12*AA12)+($Y$16*AA16)+($Y$24*AA24)+($Y$26*AA26)+($Y$33*AA33))/$Y10</f>
        <v>7.19</v>
      </c>
      <c r="AB10" s="1528">
        <f>AB12+AB16+AB24+AB26+AB33</f>
        <v>111459363.29000001</v>
      </c>
      <c r="AC10" s="1529">
        <f>((AB12*AC12)+(AB16*AC16)+(AB24*AC24)+(AB26*AC26)+(AB33*AC33))/AB10</f>
        <v>4.1500000000000002E-2</v>
      </c>
      <c r="AD10" s="1530">
        <f>(($AB$12*AD12)+($AB$16*AD16)+($AB$24*AD24)+($AB$26*AD26)+($AB$33*AD33))/$AB10</f>
        <v>3.8</v>
      </c>
      <c r="AE10" s="1528">
        <f>AE12+AE16+AE24+AE26+AE33</f>
        <v>1128798677.9100001</v>
      </c>
      <c r="AF10" s="1529">
        <f>((AE12*AF12)+(AE16*AF16)+(AE24*AF24)+(AE26*AF26)+(AE33*AF33))/AE10</f>
        <v>3.8899999999999997E-2</v>
      </c>
      <c r="AG10" s="1530">
        <f>(($AE$12*AG12)+($AE$16*AG16)+($AE$24*AG24)+($AE$26*AG26)+($AE$33*AG33))/$AE10</f>
        <v>1.01</v>
      </c>
      <c r="AH10" s="1528">
        <f>AH12+AH16+AH24+AH26+AH33</f>
        <v>734544714.95000005</v>
      </c>
      <c r="AI10" s="1529">
        <f>((AH12*AI12)+(AH16*AI16)+(AH24*AI24)+(AH26*AI26)+(AH33*AI33))/AH10</f>
        <v>5.0999999999999997E-2</v>
      </c>
      <c r="AJ10" s="1530">
        <f>(($AH$12*AJ12)+($AH$16*AJ16)+($AH$24*AJ24)+($AH$26*AJ26)+($AH$33*AJ33))/$AH10</f>
        <v>1.21</v>
      </c>
    </row>
    <row r="11" spans="2:36" s="14" customFormat="1" ht="6" customHeight="1" x14ac:dyDescent="0.25">
      <c r="B11" s="1532"/>
      <c r="C11" s="1532"/>
      <c r="D11" s="1533"/>
      <c r="E11" s="1534"/>
      <c r="F11" s="1532"/>
      <c r="G11" s="1532"/>
      <c r="H11" s="1535"/>
      <c r="I11" s="1535"/>
      <c r="J11" s="1532"/>
      <c r="K11" s="1535"/>
      <c r="L11" s="1535"/>
      <c r="M11" s="1532"/>
      <c r="N11" s="1535"/>
      <c r="O11" s="1535"/>
      <c r="P11" s="1535"/>
      <c r="Q11" s="1536"/>
      <c r="R11" s="1535"/>
      <c r="S11" s="1532"/>
      <c r="T11" s="1535"/>
      <c r="U11" s="1535"/>
      <c r="V11" s="1537"/>
      <c r="W11" s="1535"/>
      <c r="X11" s="1535"/>
      <c r="Y11" s="1532"/>
      <c r="Z11" s="1535"/>
      <c r="AA11" s="1535"/>
      <c r="AB11" s="1532"/>
      <c r="AC11" s="1535"/>
      <c r="AD11" s="1535"/>
      <c r="AE11" s="1532"/>
      <c r="AF11" s="1535"/>
      <c r="AG11" s="1535"/>
      <c r="AH11" s="1532"/>
      <c r="AI11" s="1535"/>
      <c r="AJ11" s="1535"/>
    </row>
    <row r="12" spans="2:36" s="147" customFormat="1" ht="31.5" customHeight="1" x14ac:dyDescent="0.25">
      <c r="B12" s="1565" t="s">
        <v>762</v>
      </c>
      <c r="C12" s="1500"/>
      <c r="D12" s="1538">
        <f>SUM(D13:D14)</f>
        <v>6646104389.3699999</v>
      </c>
      <c r="E12" s="1539">
        <f>((D13*E13)+(D14*E14))/D12</f>
        <v>4.58E-2</v>
      </c>
      <c r="F12" s="1500"/>
      <c r="G12" s="1538">
        <f>SUM(G13:G14)</f>
        <v>4784578598.8299999</v>
      </c>
      <c r="H12" s="1540">
        <f>((G13*H13)+(G14*H14))/G12</f>
        <v>4.7E-2</v>
      </c>
      <c r="I12" s="1541">
        <f>((G13*I13)+(G14*I14))/G12</f>
        <v>5.43</v>
      </c>
      <c r="J12" s="1538">
        <f t="shared" ref="J12:S12" si="0">SUM(J13:J14)</f>
        <v>512927528.72000003</v>
      </c>
      <c r="K12" s="1540">
        <f>((J13*K13)+(J14*K14))/J12</f>
        <v>3.49E-2</v>
      </c>
      <c r="L12" s="1541">
        <f>((J13*L13)+(J14*L14))/J12</f>
        <v>1.03</v>
      </c>
      <c r="M12" s="1538">
        <f>SUM(M13:M14)</f>
        <v>4271651070.1100001</v>
      </c>
      <c r="N12" s="1540">
        <f>((M13*N13)+(M14*N14))/M12</f>
        <v>4.8500000000000001E-2</v>
      </c>
      <c r="O12" s="1541">
        <f>((M13*O13)+(M14*O14))/M12</f>
        <v>5.97</v>
      </c>
      <c r="P12" s="1541">
        <f t="shared" si="0"/>
        <v>1517758102.45</v>
      </c>
      <c r="Q12" s="1540">
        <f>((P13*Q13)+(P14*Q14))/P12</f>
        <v>5.0299999999999997E-2</v>
      </c>
      <c r="R12" s="1541">
        <f>((P13*R13)+(P14*R14))/P12</f>
        <v>6.37</v>
      </c>
      <c r="S12" s="1538">
        <f t="shared" si="0"/>
        <v>2635470165.5999999</v>
      </c>
      <c r="T12" s="1540">
        <f>((S13*T13)+(S14*T14))/S12</f>
        <v>4.7399999999999998E-2</v>
      </c>
      <c r="U12" s="1541">
        <f>((S13*U13)+(S14*U14))/S12</f>
        <v>5.71</v>
      </c>
      <c r="V12" s="1538">
        <f>SUM(V13:V14)</f>
        <v>108019303.34999999</v>
      </c>
      <c r="W12" s="1540">
        <f>((V13*W13)+(V14*W14))/V12</f>
        <v>4.9599999999999998E-2</v>
      </c>
      <c r="X12" s="1541">
        <f>((V13*X13)+(V14*X14))/V12</f>
        <v>6.34</v>
      </c>
      <c r="Y12" s="1538">
        <f>SUM(Y13:Y14)</f>
        <v>10403498.710000001</v>
      </c>
      <c r="Z12" s="1540">
        <f>((Y13*Z13)+(Y14*Z14))/Y12</f>
        <v>4.8000000000000001E-2</v>
      </c>
      <c r="AA12" s="1541">
        <f>((Y13*AA13)+(Y14*AA14))/Y12</f>
        <v>6.46</v>
      </c>
      <c r="AB12" s="1538">
        <f>SUM(AB13:AB14)</f>
        <v>81801953.790000007</v>
      </c>
      <c r="AC12" s="1540">
        <f>((AB13*AC13)+(AB14*AC14))/AB12</f>
        <v>3.3500000000000002E-2</v>
      </c>
      <c r="AD12" s="1541">
        <f>((AB13*AD13)+(AB14*AD14))/AB12</f>
        <v>1.1000000000000001</v>
      </c>
      <c r="AE12" s="1538">
        <f t="shared" ref="AE12:AH12" si="1">SUM(AE13:AE14)</f>
        <v>1076875138.8</v>
      </c>
      <c r="AF12" s="1540">
        <f>((AE13*AF13)+(AE14*AF14))/AE12</f>
        <v>3.7999999999999999E-2</v>
      </c>
      <c r="AG12" s="1541">
        <f>((AE13*AG13)+(AE14*AG14))/AE12</f>
        <v>1.02</v>
      </c>
      <c r="AH12" s="1538">
        <f t="shared" si="1"/>
        <v>702848697.95000005</v>
      </c>
      <c r="AI12" s="1540">
        <f>((AH13*AI13)+(AH14*AI14))/AH12</f>
        <v>5.0599999999999999E-2</v>
      </c>
      <c r="AJ12" s="1541">
        <f>((AH13*AJ13)+(AH14*AJ14))/AH12</f>
        <v>1.2</v>
      </c>
    </row>
    <row r="13" spans="2:36" s="1475" customFormat="1" ht="18" customHeight="1" x14ac:dyDescent="0.25">
      <c r="B13" s="1476" t="s">
        <v>743</v>
      </c>
      <c r="C13" s="1500"/>
      <c r="D13" s="1506">
        <f>G13+AB13+AE13+AH13</f>
        <v>3805241890.71</v>
      </c>
      <c r="E13" s="1523">
        <f>((G13*H13)+(AB13*AC13)+(AE13*AF13)+(AH13*AI13))/D13</f>
        <v>4.2999999999999997E-2</v>
      </c>
      <c r="F13" s="1500"/>
      <c r="G13" s="1506">
        <f>J13+M13</f>
        <v>2487388357.3600001</v>
      </c>
      <c r="H13" s="1479">
        <f>((J13*K13)+(M13*N13))/G13</f>
        <v>4.3299999999999998E-2</v>
      </c>
      <c r="I13" s="1506">
        <f>((J13*L13)+(M13*O13))/G13</f>
        <v>4.28</v>
      </c>
      <c r="J13" s="1506">
        <v>437755095.89999998</v>
      </c>
      <c r="K13" s="1479">
        <v>3.2500000000000001E-2</v>
      </c>
      <c r="L13" s="1506">
        <v>0.14000000000000001</v>
      </c>
      <c r="M13" s="1506">
        <f>P13+S13+V13+Y13</f>
        <v>2049633261.46</v>
      </c>
      <c r="N13" s="1479">
        <f>((P13*Q13)+(S13*T13)+(V13*W13)+(Y13*Z13))/M13</f>
        <v>4.5600000000000002E-2</v>
      </c>
      <c r="O13" s="1506">
        <f>((P13*R13)+(S13*U13)+(V13*X13)+(Y13*AA13))/M13</f>
        <v>5.17</v>
      </c>
      <c r="P13" s="1506">
        <v>564231757.36000001</v>
      </c>
      <c r="Q13" s="1479">
        <v>4.6199999999999998E-2</v>
      </c>
      <c r="R13" s="1542">
        <v>6.92</v>
      </c>
      <c r="S13" s="1506">
        <v>1434753407.8699999</v>
      </c>
      <c r="T13" s="1479">
        <v>4.5499999999999999E-2</v>
      </c>
      <c r="U13" s="1506">
        <v>4.4000000000000004</v>
      </c>
      <c r="V13" s="1506">
        <v>46772375.689999998</v>
      </c>
      <c r="W13" s="1479">
        <v>4.3799999999999999E-2</v>
      </c>
      <c r="X13" s="1506">
        <v>7.59</v>
      </c>
      <c r="Y13" s="1506">
        <v>3875720.54</v>
      </c>
      <c r="Z13" s="1479">
        <v>3.8899999999999997E-2</v>
      </c>
      <c r="AA13" s="1506">
        <v>5.86</v>
      </c>
      <c r="AB13" s="1506">
        <v>50994044.32</v>
      </c>
      <c r="AC13" s="1479">
        <v>3.1099999999999999E-2</v>
      </c>
      <c r="AD13" s="1506">
        <v>1.5</v>
      </c>
      <c r="AE13" s="1506">
        <v>617566092.32000005</v>
      </c>
      <c r="AF13" s="1479">
        <v>3.5099999999999999E-2</v>
      </c>
      <c r="AG13" s="1506">
        <v>0.5</v>
      </c>
      <c r="AH13" s="1506">
        <f>+[7]ADMINISTRACIÓN!$I$11</f>
        <v>649293396.71000004</v>
      </c>
      <c r="AI13" s="1479">
        <v>5.04E-2</v>
      </c>
      <c r="AJ13" s="1506">
        <v>1.23</v>
      </c>
    </row>
    <row r="14" spans="2:36" s="1475" customFormat="1" ht="18" customHeight="1" x14ac:dyDescent="0.25">
      <c r="B14" s="1476" t="s">
        <v>744</v>
      </c>
      <c r="C14" s="1500"/>
      <c r="D14" s="1506">
        <f>G14+AB14+AE14+AH14</f>
        <v>2840862498.6599998</v>
      </c>
      <c r="E14" s="1523">
        <f>((G14*H14)+(AB14*AC14)+(AE14*AF14)+(AH14*AI14))/D14</f>
        <v>4.9500000000000002E-2</v>
      </c>
      <c r="F14" s="1500"/>
      <c r="G14" s="1506">
        <f>J14+M14</f>
        <v>2297190241.4699998</v>
      </c>
      <c r="H14" s="1479">
        <f>((J14*K14)+(M14*N14))/G14</f>
        <v>5.11E-2</v>
      </c>
      <c r="I14" s="1506">
        <f>((J14*L14)+(M14*O14))/G14</f>
        <v>6.68</v>
      </c>
      <c r="J14" s="1506">
        <v>75172432.819999993</v>
      </c>
      <c r="K14" s="1479">
        <v>4.9000000000000002E-2</v>
      </c>
      <c r="L14" s="1506">
        <v>6.18</v>
      </c>
      <c r="M14" s="1506">
        <f>P14+S14+V14+Y14</f>
        <v>2222017808.6500001</v>
      </c>
      <c r="N14" s="1479">
        <f>((P14*Q14)+(S14*T14)+(V14*W14)+(Y14*Z14))/M14</f>
        <v>5.1200000000000002E-2</v>
      </c>
      <c r="O14" s="1506">
        <f>((P14*R14)+(S14*U14)+(V14*X14)+(Y14*AA14))/M14</f>
        <v>6.7</v>
      </c>
      <c r="P14" s="1506">
        <v>953526345.09000003</v>
      </c>
      <c r="Q14" s="1479">
        <v>5.28E-2</v>
      </c>
      <c r="R14" s="1542">
        <v>6.05</v>
      </c>
      <c r="S14" s="1506">
        <v>1200716757.73</v>
      </c>
      <c r="T14" s="1479">
        <v>4.9700000000000001E-2</v>
      </c>
      <c r="U14" s="1506">
        <v>7.28</v>
      </c>
      <c r="V14" s="1506">
        <v>61246927.659999996</v>
      </c>
      <c r="W14" s="1479">
        <v>5.4100000000000002E-2</v>
      </c>
      <c r="X14" s="1506">
        <v>5.39</v>
      </c>
      <c r="Y14" s="1506">
        <v>6527778.1699999999</v>
      </c>
      <c r="Z14" s="1479">
        <v>5.3400000000000003E-2</v>
      </c>
      <c r="AA14" s="1506">
        <v>6.82</v>
      </c>
      <c r="AB14" s="1506">
        <v>30807909.469999999</v>
      </c>
      <c r="AC14" s="1479">
        <v>3.7600000000000001E-2</v>
      </c>
      <c r="AD14" s="1506">
        <v>0.45</v>
      </c>
      <c r="AE14" s="1506">
        <v>459309046.48000002</v>
      </c>
      <c r="AF14" s="1479">
        <v>4.1799999999999997E-2</v>
      </c>
      <c r="AG14" s="1506">
        <v>1.71</v>
      </c>
      <c r="AH14" s="1543">
        <v>53555301.240000002</v>
      </c>
      <c r="AI14" s="1480">
        <v>5.2600000000000001E-2</v>
      </c>
      <c r="AJ14" s="1506">
        <v>0.84</v>
      </c>
    </row>
    <row r="15" spans="2:36" s="151" customFormat="1" ht="6" customHeight="1" x14ac:dyDescent="0.25">
      <c r="B15" s="1476"/>
      <c r="C15" s="1511"/>
      <c r="D15" s="1504"/>
      <c r="E15" s="1507"/>
      <c r="F15" s="1511"/>
      <c r="G15" s="1506"/>
      <c r="H15" s="1479"/>
      <c r="I15" s="1479"/>
      <c r="J15" s="1506"/>
      <c r="K15" s="1479"/>
      <c r="L15" s="1479"/>
      <c r="M15" s="1506"/>
      <c r="N15" s="1479"/>
      <c r="O15" s="1479"/>
      <c r="P15" s="1479"/>
      <c r="Q15" s="1479"/>
      <c r="R15" s="1480"/>
      <c r="S15" s="1506"/>
      <c r="T15" s="1479"/>
      <c r="U15" s="1479"/>
      <c r="V15" s="1506"/>
      <c r="W15" s="1479"/>
      <c r="X15" s="1479"/>
      <c r="Y15" s="1506"/>
      <c r="Z15" s="1479"/>
      <c r="AA15" s="1479"/>
      <c r="AB15" s="1506"/>
      <c r="AC15" s="1479"/>
      <c r="AD15" s="1479"/>
      <c r="AE15" s="1506"/>
      <c r="AF15" s="1479"/>
      <c r="AG15" s="1479"/>
      <c r="AH15" s="1506"/>
      <c r="AI15" s="1479"/>
      <c r="AJ15" s="1479"/>
    </row>
    <row r="16" spans="2:36" s="147" customFormat="1" ht="18" customHeight="1" x14ac:dyDescent="0.25">
      <c r="B16" s="1502" t="s">
        <v>745</v>
      </c>
      <c r="C16" s="1500"/>
      <c r="D16" s="1544">
        <f>SUM(D17:D22)</f>
        <v>3552468690.1900001</v>
      </c>
      <c r="E16" s="1545">
        <f>((D17*E17)+(D18*E18)+(D19*E19)+(D20*E20)+(D21*E21)+(D22*E22))/D16</f>
        <v>4.7600000000000003E-2</v>
      </c>
      <c r="F16" s="1500"/>
      <c r="G16" s="1544">
        <f>SUM(G17:G22)</f>
        <v>3522811280.6900001</v>
      </c>
      <c r="H16" s="1546">
        <f>((G17*H17)+(G18*H18)+(G19*H19)+(G20*H20)+(G21*H21)+(G22*H22))/G16</f>
        <v>4.7399999999999998E-2</v>
      </c>
      <c r="I16" s="1547">
        <f>((G17*I17)+(G18*I18+G19*I19+G20*I20+G21*I21+G22*I22))/G16</f>
        <v>16.43</v>
      </c>
      <c r="J16" s="1544">
        <f>SUM(J17:J22)</f>
        <v>35929254.170000002</v>
      </c>
      <c r="K16" s="1546">
        <f>(($J$17*K17)+($J$18*K18)+($J$19*K19)+($J$20*K20)+($J$21*K21)+($J$22*K22))/$J16</f>
        <v>4.0099999999999997E-2</v>
      </c>
      <c r="L16" s="1548">
        <f>(($J$17*L17)+($J$18*L18)+($J$19*L19)+($J$20*L20)+($J$21*L21)+($J$22*L22))/$J16</f>
        <v>18.850000000000001</v>
      </c>
      <c r="M16" s="1544">
        <f>SUM(M17:M22)</f>
        <v>3486882026.52</v>
      </c>
      <c r="N16" s="1546">
        <f>((M17*N17)+(M18*N18)+(M19*N19)+(M20*N20)+(M21*N21)+(M22*N22))/M16</f>
        <v>4.7500000000000001E-2</v>
      </c>
      <c r="O16" s="1548">
        <f>(($M$17*O17)+($M$18*O18)+($M$19*O19)+($M$20*O20)+($M$21*O21)+($M$22*O22))/$M16</f>
        <v>16.41</v>
      </c>
      <c r="P16" s="1548">
        <f>SUM(P17:P22)</f>
        <v>1125743427.7</v>
      </c>
      <c r="Q16" s="1546">
        <f>((P17*Q17)+(P18*Q18)+(P19*Q19)+(P20*Q20)+(P21*Q21)+(P22*Q22))/P16</f>
        <v>4.9399999999999999E-2</v>
      </c>
      <c r="R16" s="1548">
        <f>(($P$17*R17)+($P$18*R18)+($P$19*R19)+($P$20*R20)+($P$21*R21)+($P$22*R22))/$P16</f>
        <v>17.73</v>
      </c>
      <c r="S16" s="1544">
        <f>SUM(S17:S22)</f>
        <v>2322973397.8600001</v>
      </c>
      <c r="T16" s="1546">
        <f>((S17*T17)+(S18*T18)+(S19*T19)+(S20*T20)+(S21*T21)+(S22*T22))/S16</f>
        <v>4.6800000000000001E-2</v>
      </c>
      <c r="U16" s="1548">
        <f>(($S$17*U17)+($S$18*U18)+($S$19*U19)+($S$20*U20)+($S$21*U21)+($S$22*U22))/$S16</f>
        <v>15.87</v>
      </c>
      <c r="V16" s="1544">
        <f>SUM(V17:V22)</f>
        <v>35428881.030000001</v>
      </c>
      <c r="W16" s="1546">
        <f>((V17*W17)+(V18*W18)+(V19*W19)+(V20*W20)+(V21*W21)+(V22*W22))/V16</f>
        <v>3.4799999999999998E-2</v>
      </c>
      <c r="X16" s="1548">
        <f>(($V$17*X17)+($V$18*X18)+($V$19*X19)+($V$20*X20)+($V$21*X21)+($V$22*X22))/$V16</f>
        <v>10.18</v>
      </c>
      <c r="Y16" s="1544">
        <f>SUM(Y17:Y22)</f>
        <v>2736319.93</v>
      </c>
      <c r="Z16" s="1546">
        <f>((Y17*Z17)+(Y18*Z18)+(Y19*Z19)+(Y20*Z20)+(Y21*Z21)+(Y22*Z22))/Y16</f>
        <v>3.5999999999999997E-2</v>
      </c>
      <c r="AA16" s="1548">
        <f>(($Y$17*AA17)+($Y$18*AA18)+($Y$19*AA19)+($Y$20*AA20)+($Y$21*AA21)+($Y$22*AA22))/$Y16</f>
        <v>10.87</v>
      </c>
      <c r="AB16" s="1544">
        <f>SUM(AB17:AB22)</f>
        <v>29657409.5</v>
      </c>
      <c r="AC16" s="1546">
        <f>(((AB17*AC17)+(AB18*AC18)+(AB19*AC19)+(AB20*AC20)+(AB21*AC21)+(AB22*AC22))/AB16)</f>
        <v>6.3700000000000007E-2</v>
      </c>
      <c r="AD16" s="1548">
        <f>(($AB$17*AD17)+($AB$18*AD18)+($AB$19*AD19)+($AB$20*AD20)+($AB$21*AD21)+($AB$22*AD22))/$AB16</f>
        <v>11.25</v>
      </c>
      <c r="AE16" s="1544">
        <f>SUM(AE17:AE22)</f>
        <v>0</v>
      </c>
      <c r="AF16" s="1546">
        <v>0</v>
      </c>
      <c r="AG16" s="1548">
        <v>0</v>
      </c>
      <c r="AH16" s="1544">
        <f>SUM(AH17:AH22)</f>
        <v>0</v>
      </c>
      <c r="AI16" s="1546">
        <v>0</v>
      </c>
      <c r="AJ16" s="1548">
        <v>0</v>
      </c>
    </row>
    <row r="17" spans="2:36" s="147" customFormat="1" ht="18" customHeight="1" x14ac:dyDescent="0.25">
      <c r="B17" s="1476" t="s">
        <v>746</v>
      </c>
      <c r="C17" s="1500"/>
      <c r="D17" s="1506">
        <f>G17+AB17+AE17+AH17</f>
        <v>26359200</v>
      </c>
      <c r="E17" s="1523">
        <f t="shared" ref="E17:E24" si="2">((G17*H17)+(AB17*AC17)+(AE17*AF17)+(AH17*AI17))/D17</f>
        <v>6.54E-2</v>
      </c>
      <c r="F17" s="1511"/>
      <c r="G17" s="1506">
        <f>J17+M17</f>
        <v>26359200</v>
      </c>
      <c r="H17" s="1479">
        <f>((J17*K17)+(M17*N17))/G17</f>
        <v>6.54E-2</v>
      </c>
      <c r="I17" s="1506">
        <f t="shared" ref="I17:I22" si="3">((J17*L17)+(M17*O17))/G17</f>
        <v>0.79</v>
      </c>
      <c r="J17" s="1506">
        <v>0</v>
      </c>
      <c r="K17" s="1479">
        <v>0</v>
      </c>
      <c r="L17" s="1506">
        <v>0</v>
      </c>
      <c r="M17" s="1506">
        <f t="shared" ref="M17:M22" si="4">P17+S17+V17+Y17</f>
        <v>26359200</v>
      </c>
      <c r="N17" s="1479">
        <f t="shared" ref="N17:N22" si="5">((P17*Q17)+(S17*T17)+(V17*W17)+(Y17*Z17))/M17</f>
        <v>6.54E-2</v>
      </c>
      <c r="O17" s="1506">
        <f>((P17*R17)+(S17*U17)+(V17*X17)+(Y17*AA17))/M17</f>
        <v>0.79</v>
      </c>
      <c r="P17" s="1506">
        <v>0</v>
      </c>
      <c r="Q17" s="1479">
        <v>0</v>
      </c>
      <c r="R17" s="1542">
        <v>0</v>
      </c>
      <c r="S17" s="1506">
        <v>26359200</v>
      </c>
      <c r="T17" s="1479">
        <v>6.54E-2</v>
      </c>
      <c r="U17" s="1506">
        <v>0.79</v>
      </c>
      <c r="V17" s="1506">
        <v>0</v>
      </c>
      <c r="W17" s="1479">
        <v>0</v>
      </c>
      <c r="X17" s="1506">
        <v>0</v>
      </c>
      <c r="Y17" s="1506">
        <v>0</v>
      </c>
      <c r="Z17" s="1479">
        <v>0</v>
      </c>
      <c r="AA17" s="1506">
        <v>0</v>
      </c>
      <c r="AB17" s="1506">
        <v>0</v>
      </c>
      <c r="AC17" s="1479">
        <v>0</v>
      </c>
      <c r="AD17" s="1506">
        <v>0</v>
      </c>
      <c r="AE17" s="1506">
        <v>0</v>
      </c>
      <c r="AF17" s="1479">
        <v>0</v>
      </c>
      <c r="AG17" s="1506">
        <v>0</v>
      </c>
      <c r="AH17" s="1506">
        <v>0</v>
      </c>
      <c r="AI17" s="1479">
        <v>0</v>
      </c>
      <c r="AJ17" s="1506">
        <v>0</v>
      </c>
    </row>
    <row r="18" spans="2:36" s="1475" customFormat="1" ht="18" customHeight="1" x14ac:dyDescent="0.25">
      <c r="B18" s="1476" t="s">
        <v>747</v>
      </c>
      <c r="C18" s="1477"/>
      <c r="D18" s="1506">
        <f t="shared" ref="D18:D24" si="6">G18+AB18+AE18+AH18</f>
        <v>1151219870</v>
      </c>
      <c r="E18" s="1523">
        <f t="shared" si="2"/>
        <v>4.1700000000000001E-2</v>
      </c>
      <c r="F18" s="1477"/>
      <c r="G18" s="1506">
        <f t="shared" ref="G18:G19" si="7">J18+M18</f>
        <v>1151219870</v>
      </c>
      <c r="H18" s="1479">
        <f>((J18*K18)+(M18*N18))/G18</f>
        <v>4.1700000000000001E-2</v>
      </c>
      <c r="I18" s="1506">
        <f t="shared" si="3"/>
        <v>7.85</v>
      </c>
      <c r="J18" s="1506">
        <v>0</v>
      </c>
      <c r="K18" s="1479">
        <v>0</v>
      </c>
      <c r="L18" s="1506">
        <v>0</v>
      </c>
      <c r="M18" s="1506">
        <f t="shared" si="4"/>
        <v>1151219870</v>
      </c>
      <c r="N18" s="1479">
        <f t="shared" si="5"/>
        <v>4.1700000000000001E-2</v>
      </c>
      <c r="O18" s="1506">
        <f t="shared" ref="O18:O24" si="8">((P18*R18)+(S18*U18)+(V18*X18)+(Y18*AA18))/M18</f>
        <v>7.85</v>
      </c>
      <c r="P18" s="1506">
        <v>382714589.25</v>
      </c>
      <c r="Q18" s="1479">
        <v>4.3900000000000002E-2</v>
      </c>
      <c r="R18" s="1542">
        <v>8.4</v>
      </c>
      <c r="S18" s="1506">
        <v>754511280.75</v>
      </c>
      <c r="T18" s="1479">
        <v>4.0800000000000003E-2</v>
      </c>
      <c r="U18" s="1506">
        <v>7.59</v>
      </c>
      <c r="V18" s="1506">
        <v>12386286.890000001</v>
      </c>
      <c r="W18" s="1479">
        <v>3.3599999999999998E-2</v>
      </c>
      <c r="X18" s="1506">
        <v>6.92</v>
      </c>
      <c r="Y18" s="1506">
        <v>1607713.11</v>
      </c>
      <c r="Z18" s="1479">
        <v>3.3599999999999998E-2</v>
      </c>
      <c r="AA18" s="1506">
        <v>6.92</v>
      </c>
      <c r="AB18" s="1506">
        <v>0</v>
      </c>
      <c r="AC18" s="1479">
        <v>0</v>
      </c>
      <c r="AD18" s="1506">
        <v>0</v>
      </c>
      <c r="AE18" s="1506">
        <v>0</v>
      </c>
      <c r="AF18" s="1479">
        <v>0</v>
      </c>
      <c r="AG18" s="1506">
        <v>0</v>
      </c>
      <c r="AH18" s="1506">
        <v>0</v>
      </c>
      <c r="AI18" s="1479">
        <v>0</v>
      </c>
      <c r="AJ18" s="1506">
        <v>0</v>
      </c>
    </row>
    <row r="19" spans="2:36" s="1475" customFormat="1" ht="18" customHeight="1" x14ac:dyDescent="0.25">
      <c r="B19" s="1476" t="s">
        <v>748</v>
      </c>
      <c r="C19" s="1477"/>
      <c r="D19" s="1506">
        <f t="shared" si="6"/>
        <v>119447893.59999999</v>
      </c>
      <c r="E19" s="1523">
        <f t="shared" si="2"/>
        <v>3.6799999999999999E-2</v>
      </c>
      <c r="F19" s="1477"/>
      <c r="G19" s="1506">
        <f t="shared" si="7"/>
        <v>119447893.59999999</v>
      </c>
      <c r="H19" s="1479">
        <f t="shared" ref="H19:H22" si="9">((J19*K19)+(M19*N19))/G19</f>
        <v>3.6799999999999999E-2</v>
      </c>
      <c r="I19" s="1506">
        <f t="shared" si="3"/>
        <v>1.81</v>
      </c>
      <c r="J19" s="1506">
        <v>0</v>
      </c>
      <c r="K19" s="1479">
        <v>0</v>
      </c>
      <c r="L19" s="1506">
        <v>0</v>
      </c>
      <c r="M19" s="1506">
        <f t="shared" si="4"/>
        <v>119447893.59999999</v>
      </c>
      <c r="N19" s="1479">
        <f t="shared" si="5"/>
        <v>3.6799999999999999E-2</v>
      </c>
      <c r="O19" s="1506">
        <f t="shared" si="8"/>
        <v>1.81</v>
      </c>
      <c r="P19" s="1506">
        <v>40071821.729999997</v>
      </c>
      <c r="Q19" s="1479">
        <v>3.7600000000000001E-2</v>
      </c>
      <c r="R19" s="1542">
        <v>1.71</v>
      </c>
      <c r="S19" s="1506">
        <v>69510549.359999999</v>
      </c>
      <c r="T19" s="1479">
        <v>3.7600000000000001E-2</v>
      </c>
      <c r="U19" s="1506">
        <v>1.71</v>
      </c>
      <c r="V19" s="1506">
        <v>9626529.6600000001</v>
      </c>
      <c r="W19" s="1479">
        <v>2.7900000000000001E-2</v>
      </c>
      <c r="X19" s="1506">
        <v>2.88</v>
      </c>
      <c r="Y19" s="1506">
        <v>238992.85</v>
      </c>
      <c r="Z19" s="1479">
        <v>2.81E-2</v>
      </c>
      <c r="AA19" s="1506">
        <v>2.85</v>
      </c>
      <c r="AB19" s="1506">
        <v>0</v>
      </c>
      <c r="AC19" s="1479">
        <v>0</v>
      </c>
      <c r="AD19" s="1506">
        <v>0</v>
      </c>
      <c r="AE19" s="1506">
        <v>0</v>
      </c>
      <c r="AF19" s="1479">
        <v>0</v>
      </c>
      <c r="AG19" s="1506">
        <v>0</v>
      </c>
      <c r="AH19" s="1506">
        <v>0</v>
      </c>
      <c r="AI19" s="1479">
        <v>0</v>
      </c>
      <c r="AJ19" s="1506">
        <v>0</v>
      </c>
    </row>
    <row r="20" spans="2:36" s="1475" customFormat="1" ht="18" customHeight="1" x14ac:dyDescent="0.25">
      <c r="B20" s="1476" t="s">
        <v>749</v>
      </c>
      <c r="C20" s="1477"/>
      <c r="D20" s="1506">
        <f t="shared" si="6"/>
        <v>1849705726.5899999</v>
      </c>
      <c r="E20" s="1523">
        <f t="shared" si="2"/>
        <v>5.4899999999999997E-2</v>
      </c>
      <c r="F20" s="1477"/>
      <c r="G20" s="1506">
        <f>J20+M20</f>
        <v>1820048317.0899999</v>
      </c>
      <c r="H20" s="1479">
        <f t="shared" si="9"/>
        <v>5.4800000000000001E-2</v>
      </c>
      <c r="I20" s="1506">
        <f t="shared" si="3"/>
        <v>25.34</v>
      </c>
      <c r="J20" s="1506">
        <v>23974008.25</v>
      </c>
      <c r="K20" s="1479">
        <f>Hoja9!I15</f>
        <v>4.5199999999999997E-2</v>
      </c>
      <c r="L20" s="1508">
        <v>25.71</v>
      </c>
      <c r="M20" s="1506">
        <f>P20+S20+V20+Y20</f>
        <v>1796074308.8399999</v>
      </c>
      <c r="N20" s="1479">
        <f t="shared" si="5"/>
        <v>5.4899999999999997E-2</v>
      </c>
      <c r="O20" s="1506">
        <f t="shared" si="8"/>
        <v>25.34</v>
      </c>
      <c r="P20" s="1508">
        <v>577494161.02999997</v>
      </c>
      <c r="Q20" s="1479">
        <v>5.7299999999999997E-2</v>
      </c>
      <c r="R20" s="1549">
        <v>27.41</v>
      </c>
      <c r="S20" s="1506">
        <v>1208217747.45</v>
      </c>
      <c r="T20" s="1479">
        <v>5.3900000000000003E-2</v>
      </c>
      <c r="U20" s="1508">
        <v>24.37</v>
      </c>
      <c r="V20" s="1506">
        <v>9648187.2400000002</v>
      </c>
      <c r="W20" s="1479">
        <v>4.5100000000000001E-2</v>
      </c>
      <c r="X20" s="1508">
        <v>23.62</v>
      </c>
      <c r="Y20" s="1506">
        <v>714213.12</v>
      </c>
      <c r="Z20" s="1479">
        <v>4.5499999999999999E-2</v>
      </c>
      <c r="AA20" s="1508">
        <v>23.88</v>
      </c>
      <c r="AB20" s="1506">
        <v>29657409.5</v>
      </c>
      <c r="AC20" s="1479">
        <v>6.3700000000000007E-2</v>
      </c>
      <c r="AD20" s="1508">
        <v>11.25</v>
      </c>
      <c r="AE20" s="1506">
        <v>0</v>
      </c>
      <c r="AF20" s="1479">
        <v>0</v>
      </c>
      <c r="AG20" s="1508">
        <v>0</v>
      </c>
      <c r="AH20" s="1506">
        <v>0</v>
      </c>
      <c r="AI20" s="1479">
        <v>0</v>
      </c>
      <c r="AJ20" s="1508">
        <v>0</v>
      </c>
    </row>
    <row r="21" spans="2:36" s="1475" customFormat="1" ht="18" customHeight="1" x14ac:dyDescent="0.25">
      <c r="B21" s="1476" t="s">
        <v>750</v>
      </c>
      <c r="C21" s="1477"/>
      <c r="D21" s="1506">
        <f t="shared" si="6"/>
        <v>205736000</v>
      </c>
      <c r="E21" s="1523">
        <f t="shared" si="2"/>
        <v>0.03</v>
      </c>
      <c r="F21" s="1477"/>
      <c r="G21" s="1506">
        <f t="shared" ref="G21:G22" si="10">J21+M21</f>
        <v>205736000</v>
      </c>
      <c r="H21" s="1479">
        <f t="shared" si="9"/>
        <v>0.03</v>
      </c>
      <c r="I21" s="1506">
        <f t="shared" si="3"/>
        <v>5.39</v>
      </c>
      <c r="J21" s="1506">
        <v>11955245.92</v>
      </c>
      <c r="K21" s="1479">
        <v>0.03</v>
      </c>
      <c r="L21" s="1508">
        <v>5.09</v>
      </c>
      <c r="M21" s="1506">
        <f t="shared" si="4"/>
        <v>193780754.08000001</v>
      </c>
      <c r="N21" s="1479">
        <f t="shared" si="5"/>
        <v>0.03</v>
      </c>
      <c r="O21" s="1506">
        <f t="shared" si="8"/>
        <v>5.41</v>
      </c>
      <c r="P21" s="1508">
        <f>Hoja10!F94</f>
        <v>43962855.689999998</v>
      </c>
      <c r="Q21" s="1479">
        <f>Hoja10!I94</f>
        <v>0.03</v>
      </c>
      <c r="R21" s="1549">
        <v>6.52</v>
      </c>
      <c r="S21" s="1506">
        <f>Hoja10!F219</f>
        <v>145874620.30000001</v>
      </c>
      <c r="T21" s="1479">
        <v>0.03</v>
      </c>
      <c r="U21" s="1508">
        <v>5.09</v>
      </c>
      <c r="V21" s="1506">
        <v>3767877.24</v>
      </c>
      <c r="W21" s="1479">
        <v>0.03</v>
      </c>
      <c r="X21" s="1508">
        <v>5.09</v>
      </c>
      <c r="Y21" s="1506">
        <v>175400.85</v>
      </c>
      <c r="Z21" s="1479">
        <v>0.03</v>
      </c>
      <c r="AA21" s="1508">
        <v>5.09</v>
      </c>
      <c r="AB21" s="1506">
        <v>0</v>
      </c>
      <c r="AC21" s="1479">
        <v>0</v>
      </c>
      <c r="AD21" s="1508">
        <v>0</v>
      </c>
      <c r="AE21" s="1506">
        <v>0</v>
      </c>
      <c r="AF21" s="1479">
        <v>0</v>
      </c>
      <c r="AG21" s="1508">
        <v>0</v>
      </c>
      <c r="AH21" s="1506">
        <v>0</v>
      </c>
      <c r="AI21" s="1479">
        <v>0</v>
      </c>
      <c r="AJ21" s="1508">
        <v>0</v>
      </c>
    </row>
    <row r="22" spans="2:36" s="1475" customFormat="1" ht="18" customHeight="1" x14ac:dyDescent="0.25">
      <c r="B22" s="1476" t="s">
        <v>751</v>
      </c>
      <c r="C22" s="1477"/>
      <c r="D22" s="1506">
        <f t="shared" si="6"/>
        <v>200000000</v>
      </c>
      <c r="E22" s="1523">
        <f t="shared" si="2"/>
        <v>3.5499999999999997E-2</v>
      </c>
      <c r="F22" s="1477"/>
      <c r="G22" s="1506">
        <f t="shared" si="10"/>
        <v>200000000</v>
      </c>
      <c r="H22" s="1479">
        <f t="shared" si="9"/>
        <v>3.5499999999999997E-2</v>
      </c>
      <c r="I22" s="1506">
        <f t="shared" si="3"/>
        <v>6.89</v>
      </c>
      <c r="J22" s="1506">
        <v>0</v>
      </c>
      <c r="K22" s="1479">
        <v>0</v>
      </c>
      <c r="L22" s="1506">
        <v>0</v>
      </c>
      <c r="M22" s="1506">
        <f t="shared" si="4"/>
        <v>200000000</v>
      </c>
      <c r="N22" s="1479">
        <f t="shared" si="5"/>
        <v>3.5499999999999997E-2</v>
      </c>
      <c r="O22" s="1506">
        <f t="shared" si="8"/>
        <v>6.89</v>
      </c>
      <c r="P22" s="1506">
        <f>Hoja10!F95+Hoja10!F96</f>
        <v>81500000</v>
      </c>
      <c r="Q22" s="1479">
        <f>Hoja10!I97</f>
        <v>3.5499999999999997E-2</v>
      </c>
      <c r="R22" s="1542">
        <v>6.9</v>
      </c>
      <c r="S22" s="1506">
        <f>SUM(Hoja10!F220:F223)</f>
        <v>118500000</v>
      </c>
      <c r="T22" s="1479">
        <f>Hoja10!I224</f>
        <v>3.5499999999999997E-2</v>
      </c>
      <c r="U22" s="1506">
        <v>6.88</v>
      </c>
      <c r="V22" s="1506">
        <v>0</v>
      </c>
      <c r="W22" s="1479">
        <v>0</v>
      </c>
      <c r="X22" s="1506">
        <v>0</v>
      </c>
      <c r="Y22" s="1506">
        <v>0</v>
      </c>
      <c r="Z22" s="1479">
        <v>0</v>
      </c>
      <c r="AA22" s="1506">
        <v>0</v>
      </c>
      <c r="AB22" s="1506">
        <v>0</v>
      </c>
      <c r="AC22" s="1479">
        <v>0</v>
      </c>
      <c r="AD22" s="1506">
        <v>0</v>
      </c>
      <c r="AE22" s="1506">
        <v>0</v>
      </c>
      <c r="AF22" s="1479">
        <v>0</v>
      </c>
      <c r="AG22" s="1506">
        <v>0</v>
      </c>
      <c r="AH22" s="1506">
        <v>0</v>
      </c>
      <c r="AI22" s="1479">
        <v>0</v>
      </c>
      <c r="AJ22" s="1506">
        <v>0</v>
      </c>
    </row>
    <row r="23" spans="2:36" s="1475" customFormat="1" ht="6" customHeight="1" x14ac:dyDescent="0.25">
      <c r="B23" s="1504"/>
      <c r="C23" s="1477"/>
      <c r="D23" s="1504"/>
      <c r="E23" s="1505"/>
      <c r="F23" s="1477"/>
      <c r="G23" s="1506"/>
      <c r="H23" s="1479"/>
      <c r="I23" s="1479"/>
      <c r="J23" s="1506"/>
      <c r="K23" s="1479"/>
      <c r="L23" s="1479"/>
      <c r="M23" s="1506"/>
      <c r="N23" s="1479"/>
      <c r="O23" s="1479"/>
      <c r="P23" s="1479"/>
      <c r="Q23" s="1479"/>
      <c r="R23" s="1480"/>
      <c r="S23" s="1506"/>
      <c r="T23" s="1479"/>
      <c r="U23" s="1479"/>
      <c r="V23" s="1506"/>
      <c r="W23" s="1479"/>
      <c r="X23" s="1479"/>
      <c r="Y23" s="1506"/>
      <c r="Z23" s="1479"/>
      <c r="AA23" s="1479"/>
      <c r="AB23" s="1506"/>
      <c r="AC23" s="1479"/>
      <c r="AD23" s="1479"/>
      <c r="AE23" s="1506"/>
      <c r="AF23" s="1479"/>
      <c r="AG23" s="1479"/>
      <c r="AH23" s="1506"/>
      <c r="AI23" s="1479"/>
      <c r="AJ23" s="1479"/>
    </row>
    <row r="24" spans="2:36" s="1475" customFormat="1" ht="18" customHeight="1" x14ac:dyDescent="0.25">
      <c r="B24" s="1502" t="s">
        <v>752</v>
      </c>
      <c r="C24" s="1477"/>
      <c r="D24" s="1544">
        <f t="shared" si="6"/>
        <v>516635131.04000002</v>
      </c>
      <c r="E24" s="1545">
        <f t="shared" si="2"/>
        <v>5.0799999999999998E-2</v>
      </c>
      <c r="F24" s="1500"/>
      <c r="G24" s="1544">
        <f>J24+M24</f>
        <v>483015574.93000001</v>
      </c>
      <c r="H24" s="1546">
        <f>((J24*K24)+(M24*N24))/G24</f>
        <v>5.0099999999999999E-2</v>
      </c>
      <c r="I24" s="1544">
        <f>((J24*L24)+(M24*O24))/G24</f>
        <v>3.54</v>
      </c>
      <c r="J24" s="1544">
        <v>0</v>
      </c>
      <c r="K24" s="1546">
        <v>0</v>
      </c>
      <c r="L24" s="1544">
        <v>0</v>
      </c>
      <c r="M24" s="1544">
        <f>P24+S24+V24+Y24</f>
        <v>483015574.93000001</v>
      </c>
      <c r="N24" s="1546">
        <f>((P24*Q24)+(S24*T24)+(V24*W24)+(Y24*Z24))/M24</f>
        <v>5.0099999999999999E-2</v>
      </c>
      <c r="O24" s="1544">
        <f t="shared" si="8"/>
        <v>3.54</v>
      </c>
      <c r="P24" s="1544">
        <f>63000000+63000000+31500000+212.35</f>
        <v>157500212.34999999</v>
      </c>
      <c r="Q24" s="1546">
        <v>4.7600000000000003E-2</v>
      </c>
      <c r="R24" s="1550">
        <v>3.8</v>
      </c>
      <c r="S24" s="1544">
        <v>270858715.13</v>
      </c>
      <c r="T24" s="1546">
        <v>4.8899999999999999E-2</v>
      </c>
      <c r="U24" s="1544">
        <v>3.78</v>
      </c>
      <c r="V24" s="1544">
        <v>54263732.130000003</v>
      </c>
      <c r="W24" s="1546">
        <v>6.3600000000000004E-2</v>
      </c>
      <c r="X24" s="1544">
        <v>1.61</v>
      </c>
      <c r="Y24" s="1544">
        <v>392915.32</v>
      </c>
      <c r="Z24" s="1546">
        <v>5.6000000000000001E-2</v>
      </c>
      <c r="AA24" s="1544">
        <v>1</v>
      </c>
      <c r="AB24" s="1544">
        <v>0</v>
      </c>
      <c r="AC24" s="1546">
        <v>0</v>
      </c>
      <c r="AD24" s="1544">
        <v>0</v>
      </c>
      <c r="AE24" s="1544">
        <v>1923539.11</v>
      </c>
      <c r="AF24" s="1546">
        <v>0.06</v>
      </c>
      <c r="AG24" s="1544">
        <v>1</v>
      </c>
      <c r="AH24" s="1544">
        <v>31696017</v>
      </c>
      <c r="AI24" s="1546">
        <v>6.0999999999999999E-2</v>
      </c>
      <c r="AJ24" s="1544">
        <v>1.53</v>
      </c>
    </row>
    <row r="25" spans="2:36" s="151" customFormat="1" ht="6" customHeight="1" x14ac:dyDescent="0.25">
      <c r="B25" s="1476"/>
      <c r="C25" s="1511"/>
      <c r="D25" s="1504"/>
      <c r="E25" s="1507"/>
      <c r="F25" s="1477"/>
      <c r="G25" s="1506"/>
      <c r="H25" s="1479"/>
      <c r="I25" s="1479"/>
      <c r="J25" s="1506"/>
      <c r="K25" s="1479"/>
      <c r="L25" s="1479"/>
      <c r="M25" s="1506"/>
      <c r="N25" s="1479"/>
      <c r="O25" s="1479"/>
      <c r="P25" s="1479"/>
      <c r="Q25" s="1479"/>
      <c r="R25" s="1480"/>
      <c r="S25" s="1506"/>
      <c r="T25" s="1479"/>
      <c r="U25" s="1479"/>
      <c r="V25" s="1508"/>
      <c r="W25" s="1479"/>
      <c r="X25" s="1479"/>
      <c r="Y25" s="1506"/>
      <c r="Z25" s="1479"/>
      <c r="AA25" s="1479"/>
      <c r="AB25" s="1506"/>
      <c r="AC25" s="1479"/>
      <c r="AD25" s="1479"/>
      <c r="AE25" s="1506"/>
      <c r="AF25" s="1479"/>
      <c r="AG25" s="1479"/>
      <c r="AH25" s="1506"/>
      <c r="AI25" s="1479"/>
      <c r="AJ25" s="1479"/>
    </row>
    <row r="26" spans="2:36" s="147" customFormat="1" ht="18" customHeight="1" x14ac:dyDescent="0.25">
      <c r="B26" s="1502" t="s">
        <v>753</v>
      </c>
      <c r="C26" s="1505"/>
      <c r="D26" s="1544">
        <f>SUM(D27:D31)</f>
        <v>144371000</v>
      </c>
      <c r="E26" s="1545">
        <f>+(D27*E27+D28*E28+D29*E29+D30*E30+D31*E31)/D26</f>
        <v>5.5100000000000003E-2</v>
      </c>
      <c r="F26" s="1511"/>
      <c r="G26" s="1544">
        <f>SUM(G27:G31)</f>
        <v>94371000</v>
      </c>
      <c r="H26" s="1546">
        <f>+(G27*H27+G28*H28+G29*H29+G30*H30+G31*H31)/G26</f>
        <v>5.4100000000000002E-2</v>
      </c>
      <c r="I26" s="1547">
        <f>((G27*I27)+(G28*I28+G29*I29+G30*I30+G31*I31))/G26</f>
        <v>3.31</v>
      </c>
      <c r="J26" s="1544">
        <f>SUM(J27:J31)</f>
        <v>0</v>
      </c>
      <c r="K26" s="1546">
        <f>SUM(K27:K31)</f>
        <v>0</v>
      </c>
      <c r="L26" s="1544">
        <f>SUM(L27:L31)</f>
        <v>0</v>
      </c>
      <c r="M26" s="1544">
        <f>SUM(M27:M31)</f>
        <v>94371000</v>
      </c>
      <c r="N26" s="1546">
        <f>+(M27*N27+M28*N28+M29*N29+M30*N30+M31*N31)/M26</f>
        <v>5.4100000000000002E-2</v>
      </c>
      <c r="O26" s="1548">
        <f>(($M$27*O27)+($M$28*O28)+($M$29*O29)+($M$30*O30)+($M$31*O31))/$M26</f>
        <v>3.31</v>
      </c>
      <c r="P26" s="1544">
        <f>SUM(P27:P31)</f>
        <v>37505548.609999999</v>
      </c>
      <c r="Q26" s="1546">
        <f>+(P27*Q27+P28*Q28+P29*Q29+P31*Q31)/P26</f>
        <v>4.7300000000000002E-2</v>
      </c>
      <c r="R26" s="1548">
        <f>+(P27*R27+P28*R28+P29*R29+P30*R30+P31*R31)/P26</f>
        <v>2.41</v>
      </c>
      <c r="S26" s="1544">
        <f>SUM(S27:S31)</f>
        <v>56865451.390000001</v>
      </c>
      <c r="T26" s="1546">
        <f>+(S27*T27+S28*T28+S29*T29+S30*T30+S31*T31)/S26</f>
        <v>5.8599999999999999E-2</v>
      </c>
      <c r="U26" s="1548">
        <f>+(S27*U27+S28*U28+S29*U29+S30*U30+S31*U31)/S26</f>
        <v>3.91</v>
      </c>
      <c r="V26" s="1548">
        <v>0</v>
      </c>
      <c r="W26" s="1546">
        <v>0</v>
      </c>
      <c r="X26" s="1548">
        <v>0</v>
      </c>
      <c r="Y26" s="1544">
        <v>0</v>
      </c>
      <c r="Z26" s="1546">
        <v>0</v>
      </c>
      <c r="AA26" s="1544">
        <v>0</v>
      </c>
      <c r="AB26" s="1544">
        <f t="shared" ref="AB26:AI26" si="11">SUM(AB27:AB31)</f>
        <v>0</v>
      </c>
      <c r="AC26" s="1546">
        <f t="shared" si="11"/>
        <v>0</v>
      </c>
      <c r="AD26" s="1544">
        <v>0</v>
      </c>
      <c r="AE26" s="1544">
        <f t="shared" si="11"/>
        <v>50000000</v>
      </c>
      <c r="AF26" s="1546">
        <f>((AE27*AF27)+(AE29*AF29))/AE26</f>
        <v>5.7000000000000002E-2</v>
      </c>
      <c r="AG26" s="1548">
        <f>+(AE27*AG27+AE28*AG28+AE29*AG29+AE30*AG30+AE31*AG31)/AE26</f>
        <v>0.88</v>
      </c>
      <c r="AH26" s="1544">
        <f t="shared" si="11"/>
        <v>0</v>
      </c>
      <c r="AI26" s="1546">
        <f t="shared" si="11"/>
        <v>0</v>
      </c>
      <c r="AJ26" s="1544">
        <v>0</v>
      </c>
    </row>
    <row r="27" spans="2:36" s="147" customFormat="1" ht="18" customHeight="1" x14ac:dyDescent="0.25">
      <c r="B27" s="1476" t="s">
        <v>754</v>
      </c>
      <c r="C27" s="1505"/>
      <c r="D27" s="1506">
        <f t="shared" ref="D27:D33" si="12">G27+AB27+AE27+AH27</f>
        <v>20000000</v>
      </c>
      <c r="E27" s="1523">
        <f t="shared" ref="E27:E31" si="13">((G27*H27)+(AB27*AC27)+(AE27*AF27)+(AH27*AI27))/D27</f>
        <v>0.06</v>
      </c>
      <c r="F27" s="1511"/>
      <c r="G27" s="1506">
        <f>J27+M27</f>
        <v>0</v>
      </c>
      <c r="H27" s="1479">
        <v>0</v>
      </c>
      <c r="I27" s="1506">
        <v>0</v>
      </c>
      <c r="J27" s="1506">
        <v>0</v>
      </c>
      <c r="K27" s="1479">
        <v>0</v>
      </c>
      <c r="L27" s="1506">
        <v>0</v>
      </c>
      <c r="M27" s="1506">
        <f>P27+S27+V27+Y27</f>
        <v>0</v>
      </c>
      <c r="N27" s="1479">
        <v>0</v>
      </c>
      <c r="O27" s="1506">
        <v>0</v>
      </c>
      <c r="P27" s="1506">
        <v>0</v>
      </c>
      <c r="Q27" s="1479">
        <v>0</v>
      </c>
      <c r="R27" s="1542">
        <v>0</v>
      </c>
      <c r="S27" s="1506">
        <v>0</v>
      </c>
      <c r="T27" s="1479">
        <v>0</v>
      </c>
      <c r="U27" s="1506">
        <v>0</v>
      </c>
      <c r="V27" s="1508">
        <v>0</v>
      </c>
      <c r="W27" s="1479">
        <v>0</v>
      </c>
      <c r="X27" s="1506">
        <v>0</v>
      </c>
      <c r="Y27" s="1506">
        <v>0</v>
      </c>
      <c r="Z27" s="1479">
        <v>0</v>
      </c>
      <c r="AA27" s="1506">
        <v>0</v>
      </c>
      <c r="AB27" s="1506">
        <v>0</v>
      </c>
      <c r="AC27" s="1479">
        <v>0</v>
      </c>
      <c r="AD27" s="1506">
        <v>0</v>
      </c>
      <c r="AE27" s="1506">
        <v>20000000</v>
      </c>
      <c r="AF27" s="1479">
        <v>0.06</v>
      </c>
      <c r="AG27" s="1506">
        <v>1.1000000000000001</v>
      </c>
      <c r="AH27" s="1506">
        <v>0</v>
      </c>
      <c r="AI27" s="1479">
        <v>0</v>
      </c>
      <c r="AJ27" s="1506">
        <v>0</v>
      </c>
    </row>
    <row r="28" spans="2:36" s="147" customFormat="1" ht="18" customHeight="1" x14ac:dyDescent="0.25">
      <c r="B28" s="1476" t="s">
        <v>756</v>
      </c>
      <c r="C28" s="1505"/>
      <c r="D28" s="1506">
        <f t="shared" si="12"/>
        <v>34371000</v>
      </c>
      <c r="E28" s="1523">
        <f t="shared" si="13"/>
        <v>4.4699999999999997E-2</v>
      </c>
      <c r="F28" s="1500"/>
      <c r="G28" s="1551">
        <f>J28+M28</f>
        <v>34371000</v>
      </c>
      <c r="H28" s="1552">
        <f>((J28*K28)+(M28*N28))/G28</f>
        <v>4.4699999999999997E-2</v>
      </c>
      <c r="I28" s="1506">
        <f t="shared" ref="I28:I33" si="14">((J28*L28)+(M28*O28))/G28</f>
        <v>4.2300000000000004</v>
      </c>
      <c r="J28" s="1506">
        <v>0</v>
      </c>
      <c r="K28" s="1479">
        <v>0</v>
      </c>
      <c r="L28" s="1506">
        <v>0</v>
      </c>
      <c r="M28" s="1506">
        <f>P28+S28+V28+Y28</f>
        <v>34371000</v>
      </c>
      <c r="N28" s="1479">
        <f>((P28*Q28)+(S28*T28)+(V28*W28)+(Y28*Z28))/M28</f>
        <v>4.4699999999999997E-2</v>
      </c>
      <c r="O28" s="1506">
        <f t="shared" ref="O28:O33" si="15">((P28*R28)+(S28*U28)+(V28*X28)+(Y28*AA28))/M28</f>
        <v>4.2300000000000004</v>
      </c>
      <c r="P28" s="1506">
        <f>Hoja10!F97</f>
        <v>26407020</v>
      </c>
      <c r="Q28" s="1479">
        <f>Hoja10!I100</f>
        <v>4.19E-2</v>
      </c>
      <c r="R28" s="1542">
        <v>3.11</v>
      </c>
      <c r="S28" s="1506">
        <f>Hoja10!F225</f>
        <v>7963980</v>
      </c>
      <c r="T28" s="1479">
        <v>5.3999999999999999E-2</v>
      </c>
      <c r="U28" s="1506">
        <v>7.96</v>
      </c>
      <c r="V28" s="1508">
        <v>0</v>
      </c>
      <c r="W28" s="1479">
        <v>0</v>
      </c>
      <c r="X28" s="1506">
        <v>0</v>
      </c>
      <c r="Y28" s="1506">
        <v>0</v>
      </c>
      <c r="Z28" s="1479">
        <v>0</v>
      </c>
      <c r="AA28" s="1506">
        <v>0</v>
      </c>
      <c r="AB28" s="1506">
        <v>0</v>
      </c>
      <c r="AC28" s="1479">
        <v>0</v>
      </c>
      <c r="AD28" s="1506">
        <v>0</v>
      </c>
      <c r="AE28" s="1506">
        <v>0</v>
      </c>
      <c r="AF28" s="1479">
        <v>0</v>
      </c>
      <c r="AG28" s="1506">
        <v>0</v>
      </c>
      <c r="AH28" s="1506">
        <v>0</v>
      </c>
      <c r="AI28" s="1479">
        <v>0</v>
      </c>
      <c r="AJ28" s="1506">
        <v>0</v>
      </c>
    </row>
    <row r="29" spans="2:36" s="147" customFormat="1" ht="18" customHeight="1" x14ac:dyDescent="0.25">
      <c r="B29" s="1476" t="s">
        <v>757</v>
      </c>
      <c r="C29" s="1505"/>
      <c r="D29" s="1506">
        <f t="shared" si="12"/>
        <v>30000000</v>
      </c>
      <c r="E29" s="1523">
        <f t="shared" si="13"/>
        <v>5.5E-2</v>
      </c>
      <c r="F29" s="1500"/>
      <c r="G29" s="1551">
        <f>J29+M29</f>
        <v>0</v>
      </c>
      <c r="H29" s="1479">
        <v>0</v>
      </c>
      <c r="I29" s="1506">
        <v>0</v>
      </c>
      <c r="J29" s="1506">
        <v>0</v>
      </c>
      <c r="K29" s="1479">
        <v>0</v>
      </c>
      <c r="L29" s="1506">
        <v>0</v>
      </c>
      <c r="M29" s="1506">
        <f>P29+S29+V29+Y29</f>
        <v>0</v>
      </c>
      <c r="N29" s="1479">
        <v>0</v>
      </c>
      <c r="O29" s="1506">
        <v>0</v>
      </c>
      <c r="P29" s="1506">
        <v>0</v>
      </c>
      <c r="Q29" s="1479">
        <v>0</v>
      </c>
      <c r="R29" s="1542">
        <v>0</v>
      </c>
      <c r="S29" s="1506">
        <v>0</v>
      </c>
      <c r="T29" s="1479">
        <v>0</v>
      </c>
      <c r="U29" s="1506">
        <v>0</v>
      </c>
      <c r="V29" s="1508">
        <v>0</v>
      </c>
      <c r="W29" s="1479">
        <v>0</v>
      </c>
      <c r="X29" s="1506">
        <v>0</v>
      </c>
      <c r="Y29" s="1506">
        <v>0</v>
      </c>
      <c r="Z29" s="1479">
        <v>0</v>
      </c>
      <c r="AA29" s="1506">
        <v>0</v>
      </c>
      <c r="AB29" s="1506">
        <v>0</v>
      </c>
      <c r="AC29" s="1479">
        <v>0</v>
      </c>
      <c r="AD29" s="1506">
        <v>0</v>
      </c>
      <c r="AE29" s="1506">
        <v>30000000</v>
      </c>
      <c r="AF29" s="1479">
        <v>5.5E-2</v>
      </c>
      <c r="AG29" s="1506">
        <v>0.74</v>
      </c>
      <c r="AH29" s="1506">
        <v>0</v>
      </c>
      <c r="AI29" s="1479">
        <v>0</v>
      </c>
      <c r="AJ29" s="1506">
        <v>0</v>
      </c>
    </row>
    <row r="30" spans="2:36" s="147" customFormat="1" ht="18" customHeight="1" x14ac:dyDescent="0.25">
      <c r="B30" s="1476" t="s">
        <v>757</v>
      </c>
      <c r="C30" s="1505"/>
      <c r="D30" s="1506">
        <f t="shared" si="12"/>
        <v>30000000</v>
      </c>
      <c r="E30" s="1523">
        <f t="shared" si="13"/>
        <v>5.8999999999999997E-2</v>
      </c>
      <c r="F30" s="1500"/>
      <c r="G30" s="1551">
        <f>J30+M30</f>
        <v>30000000</v>
      </c>
      <c r="H30" s="1552">
        <f>((J30*K30)+(M30*N30))/G30</f>
        <v>5.8999999999999997E-2</v>
      </c>
      <c r="I30" s="1506">
        <f t="shared" si="14"/>
        <v>4.82</v>
      </c>
      <c r="J30" s="1506">
        <v>0</v>
      </c>
      <c r="K30" s="1479">
        <v>0</v>
      </c>
      <c r="L30" s="1506">
        <v>0</v>
      </c>
      <c r="M30" s="1506">
        <f>P30+S30+V30+Y30</f>
        <v>30000000</v>
      </c>
      <c r="N30" s="1479">
        <f>((P30*Q30)+(S30*T30)+(V30*W30)+(Y30*Z30))/M30</f>
        <v>5.8999999999999997E-2</v>
      </c>
      <c r="O30" s="1506">
        <f t="shared" si="15"/>
        <v>4.82</v>
      </c>
      <c r="P30" s="1506">
        <v>0</v>
      </c>
      <c r="Q30" s="1479">
        <v>0</v>
      </c>
      <c r="R30" s="1542">
        <v>0</v>
      </c>
      <c r="S30" s="1506">
        <v>30000000</v>
      </c>
      <c r="T30" s="1479">
        <v>5.8999999999999997E-2</v>
      </c>
      <c r="U30" s="1506">
        <v>4.82</v>
      </c>
      <c r="V30" s="1508">
        <v>0</v>
      </c>
      <c r="W30" s="1479">
        <v>0</v>
      </c>
      <c r="X30" s="1506">
        <v>0</v>
      </c>
      <c r="Y30" s="1506">
        <v>0</v>
      </c>
      <c r="Z30" s="1479">
        <v>0</v>
      </c>
      <c r="AA30" s="1506">
        <v>0</v>
      </c>
      <c r="AB30" s="1506">
        <v>0</v>
      </c>
      <c r="AC30" s="1479">
        <v>0</v>
      </c>
      <c r="AD30" s="1506">
        <v>0</v>
      </c>
      <c r="AE30" s="1506">
        <v>0</v>
      </c>
      <c r="AF30" s="1479">
        <v>0</v>
      </c>
      <c r="AG30" s="1506">
        <v>0</v>
      </c>
      <c r="AH30" s="1506">
        <v>0</v>
      </c>
      <c r="AI30" s="1479">
        <v>0</v>
      </c>
      <c r="AJ30" s="1506">
        <v>0</v>
      </c>
    </row>
    <row r="31" spans="2:36" s="147" customFormat="1" ht="18" customHeight="1" x14ac:dyDescent="0.25">
      <c r="B31" s="1476" t="s">
        <v>758</v>
      </c>
      <c r="C31" s="1505"/>
      <c r="D31" s="1506">
        <f t="shared" si="12"/>
        <v>30000000</v>
      </c>
      <c r="E31" s="1523">
        <f t="shared" si="13"/>
        <v>0.06</v>
      </c>
      <c r="F31" s="1511"/>
      <c r="G31" s="1551">
        <f>J31+M31</f>
        <v>30000000</v>
      </c>
      <c r="H31" s="1552">
        <f>((J31*K31)+(M31*N31))/G31</f>
        <v>0.06</v>
      </c>
      <c r="I31" s="1506">
        <f t="shared" si="14"/>
        <v>0.76</v>
      </c>
      <c r="J31" s="1506">
        <v>0</v>
      </c>
      <c r="K31" s="1479">
        <v>0</v>
      </c>
      <c r="L31" s="1506">
        <v>0</v>
      </c>
      <c r="M31" s="1506">
        <f>P31+S31+V31+Y31</f>
        <v>30000000</v>
      </c>
      <c r="N31" s="1479">
        <f>((P31*Q31)+(S31*T31)+(V31*W31)+(Y31*Z31))/M31</f>
        <v>0.06</v>
      </c>
      <c r="O31" s="1506">
        <f t="shared" si="15"/>
        <v>0.76</v>
      </c>
      <c r="P31" s="1506">
        <v>11098528.609999999</v>
      </c>
      <c r="Q31" s="1479">
        <v>0.06</v>
      </c>
      <c r="R31" s="1542">
        <v>0.76</v>
      </c>
      <c r="S31" s="1506">
        <v>18901471.390000001</v>
      </c>
      <c r="T31" s="1479">
        <v>0.06</v>
      </c>
      <c r="U31" s="1506">
        <v>0.76</v>
      </c>
      <c r="V31" s="1508">
        <v>0</v>
      </c>
      <c r="W31" s="1479">
        <v>0</v>
      </c>
      <c r="X31" s="1506">
        <v>0</v>
      </c>
      <c r="Y31" s="1506">
        <v>0</v>
      </c>
      <c r="Z31" s="1479">
        <v>0</v>
      </c>
      <c r="AA31" s="1506">
        <v>0</v>
      </c>
      <c r="AB31" s="1506">
        <v>0</v>
      </c>
      <c r="AC31" s="1479">
        <v>0</v>
      </c>
      <c r="AD31" s="1506">
        <v>0</v>
      </c>
      <c r="AE31" s="1506">
        <v>0</v>
      </c>
      <c r="AF31" s="1479">
        <v>0</v>
      </c>
      <c r="AG31" s="1506">
        <v>0</v>
      </c>
      <c r="AH31" s="1506">
        <v>0</v>
      </c>
      <c r="AI31" s="1479">
        <v>0</v>
      </c>
      <c r="AJ31" s="1506">
        <v>0</v>
      </c>
    </row>
    <row r="32" spans="2:36" s="147" customFormat="1" ht="6" customHeight="1" x14ac:dyDescent="0.25">
      <c r="B32" s="1502"/>
      <c r="C32" s="1505"/>
      <c r="D32" s="1506"/>
      <c r="E32" s="1479"/>
      <c r="F32" s="1511"/>
      <c r="G32" s="1506"/>
      <c r="H32" s="1479"/>
      <c r="I32" s="1479"/>
      <c r="J32" s="1506"/>
      <c r="K32" s="1479"/>
      <c r="L32" s="1479"/>
      <c r="M32" s="1506"/>
      <c r="N32" s="1479"/>
      <c r="O32" s="1479"/>
      <c r="P32" s="1479"/>
      <c r="Q32" s="1479"/>
      <c r="R32" s="1480"/>
      <c r="S32" s="1506"/>
      <c r="T32" s="1479"/>
      <c r="U32" s="1479"/>
      <c r="V32" s="1508"/>
      <c r="W32" s="1479"/>
      <c r="X32" s="1479"/>
      <c r="Y32" s="1506"/>
      <c r="Z32" s="1479"/>
      <c r="AA32" s="1479"/>
      <c r="AB32" s="1506"/>
      <c r="AC32" s="1479"/>
      <c r="AD32" s="1479"/>
      <c r="AE32" s="1506"/>
      <c r="AF32" s="1479"/>
      <c r="AG32" s="1479"/>
      <c r="AH32" s="1506"/>
      <c r="AI32" s="1479"/>
      <c r="AJ32" s="1479"/>
    </row>
    <row r="33" spans="2:38" s="147" customFormat="1" ht="18" customHeight="1" x14ac:dyDescent="0.25">
      <c r="B33" s="1502" t="s">
        <v>759</v>
      </c>
      <c r="C33" s="1505"/>
      <c r="D33" s="1553">
        <f t="shared" si="12"/>
        <v>200000000</v>
      </c>
      <c r="E33" s="1554">
        <f t="shared" ref="E33" si="16">((G33*H33)+(AB33*AC33)+(AE33*AF33)+(AH33*AI33))/D33</f>
        <v>3.5000000000000003E-2</v>
      </c>
      <c r="F33" s="1511"/>
      <c r="G33" s="1555">
        <f>J33+M33</f>
        <v>200000000</v>
      </c>
      <c r="H33" s="1556">
        <f>((J33*K33)+(M33*N33))/G33</f>
        <v>3.5000000000000003E-2</v>
      </c>
      <c r="I33" s="1553">
        <f t="shared" si="14"/>
        <v>18.170000000000002</v>
      </c>
      <c r="J33" s="1553">
        <v>0</v>
      </c>
      <c r="K33" s="1557">
        <v>0</v>
      </c>
      <c r="L33" s="1553">
        <v>0</v>
      </c>
      <c r="M33" s="1553">
        <f>P33+S33+V33+Y33</f>
        <v>200000000</v>
      </c>
      <c r="N33" s="1557">
        <f>((P33*Q33)+(S33*T33)+(V33*W33)+(Y33*Z33))/M33</f>
        <v>3.5000000000000003E-2</v>
      </c>
      <c r="O33" s="1553">
        <f t="shared" si="15"/>
        <v>18.170000000000002</v>
      </c>
      <c r="P33" s="1553">
        <f>Hoja10!F101</f>
        <v>71882137.159999996</v>
      </c>
      <c r="Q33" s="1557">
        <v>3.5000000000000003E-2</v>
      </c>
      <c r="R33" s="1558">
        <v>18.170000000000002</v>
      </c>
      <c r="S33" s="1553">
        <f>Hoja10!F227</f>
        <v>128117862.84</v>
      </c>
      <c r="T33" s="1557">
        <v>3.5000000000000003E-2</v>
      </c>
      <c r="U33" s="1553">
        <v>18.170000000000002</v>
      </c>
      <c r="V33" s="1559">
        <v>0</v>
      </c>
      <c r="W33" s="1557">
        <v>0</v>
      </c>
      <c r="X33" s="1553">
        <v>0</v>
      </c>
      <c r="Y33" s="1553">
        <v>0</v>
      </c>
      <c r="Z33" s="1557">
        <v>0</v>
      </c>
      <c r="AA33" s="1553">
        <v>0</v>
      </c>
      <c r="AB33" s="1553">
        <v>0</v>
      </c>
      <c r="AC33" s="1557">
        <v>0</v>
      </c>
      <c r="AD33" s="1553">
        <v>0</v>
      </c>
      <c r="AE33" s="1553">
        <v>0</v>
      </c>
      <c r="AF33" s="1557">
        <v>0</v>
      </c>
      <c r="AG33" s="1553">
        <v>0</v>
      </c>
      <c r="AH33" s="1553">
        <v>0</v>
      </c>
      <c r="AI33" s="1557">
        <v>0</v>
      </c>
      <c r="AJ33" s="1553">
        <v>0</v>
      </c>
    </row>
    <row r="34" spans="2:38" s="151" customFormat="1" ht="10.5" customHeight="1" x14ac:dyDescent="0.25">
      <c r="B34" s="1510"/>
      <c r="C34" s="1511"/>
      <c r="D34" s="1509"/>
      <c r="E34" s="1512"/>
      <c r="F34" s="1501"/>
      <c r="G34" s="1501"/>
      <c r="H34" s="1513"/>
      <c r="I34" s="1514"/>
      <c r="J34" s="1501"/>
      <c r="K34" s="1514"/>
      <c r="L34" s="1514"/>
      <c r="M34" s="1501"/>
      <c r="N34" s="1514"/>
      <c r="O34" s="1514"/>
      <c r="P34" s="1501"/>
      <c r="Q34" s="1514"/>
      <c r="R34" s="1514"/>
      <c r="S34" s="1501"/>
      <c r="T34" s="1513"/>
      <c r="U34" s="1513"/>
      <c r="V34" s="1515"/>
      <c r="W34" s="1514"/>
      <c r="X34" s="1514"/>
      <c r="Y34" s="1501"/>
      <c r="Z34" s="1514"/>
      <c r="AA34" s="1514"/>
      <c r="AB34" s="1501"/>
      <c r="AC34" s="1514"/>
      <c r="AD34" s="1514"/>
      <c r="AE34" s="1501"/>
      <c r="AF34" s="1514"/>
      <c r="AG34" s="1514"/>
      <c r="AH34" s="1501"/>
      <c r="AI34" s="1514"/>
      <c r="AJ34" s="1501"/>
    </row>
    <row r="35" spans="2:38" s="156" customFormat="1" ht="20.149999999999999" customHeight="1" x14ac:dyDescent="0.25">
      <c r="B35" s="1511" t="s">
        <v>71</v>
      </c>
      <c r="C35" s="1503"/>
      <c r="D35" s="1509"/>
      <c r="E35" s="1516"/>
      <c r="F35" s="1503"/>
      <c r="G35" s="1503"/>
      <c r="H35" s="1517"/>
      <c r="I35" s="1517"/>
      <c r="J35" s="1503"/>
      <c r="K35" s="1517"/>
      <c r="L35" s="1517"/>
      <c r="M35" s="1503"/>
      <c r="N35" s="1517"/>
      <c r="O35" s="1517"/>
      <c r="P35" s="1503"/>
      <c r="Q35" s="1517"/>
      <c r="R35" s="1517"/>
      <c r="S35" s="1503"/>
      <c r="T35" s="1517"/>
      <c r="U35" s="1517"/>
      <c r="V35" s="1518"/>
      <c r="W35" s="1517"/>
      <c r="X35" s="1517"/>
      <c r="Y35" s="1503"/>
      <c r="Z35" s="1517"/>
      <c r="AA35" s="1517"/>
      <c r="AB35" s="1503"/>
      <c r="AC35" s="1517"/>
      <c r="AD35" s="1517"/>
      <c r="AE35" s="1503"/>
      <c r="AF35" s="1517"/>
      <c r="AG35" s="1517"/>
      <c r="AH35" s="1503"/>
      <c r="AI35" s="1517"/>
      <c r="AJ35" s="1503"/>
    </row>
    <row r="36" spans="2:38" s="156" customFormat="1" ht="33" customHeight="1" x14ac:dyDescent="0.25">
      <c r="B36" s="1608" t="s">
        <v>755</v>
      </c>
      <c r="C36" s="1608"/>
      <c r="D36" s="1608"/>
      <c r="E36" s="1608"/>
      <c r="F36" s="1608"/>
      <c r="G36" s="1608"/>
      <c r="H36" s="1608"/>
      <c r="I36" s="1608"/>
      <c r="J36" s="1608"/>
      <c r="K36" s="1608"/>
      <c r="L36" s="1608"/>
      <c r="M36" s="1608"/>
      <c r="N36" s="1608"/>
      <c r="O36" s="1608"/>
      <c r="P36" s="1608"/>
      <c r="Q36" s="1608"/>
      <c r="R36" s="1608"/>
      <c r="S36" s="1608"/>
      <c r="T36" s="1608"/>
      <c r="U36" s="1608"/>
      <c r="V36" s="1608"/>
      <c r="W36" s="1608"/>
      <c r="X36" s="1608"/>
      <c r="Y36" s="1608"/>
      <c r="Z36" s="1608"/>
      <c r="AA36" s="1608"/>
      <c r="AB36" s="1608"/>
      <c r="AC36" s="1608"/>
      <c r="AD36" s="1608"/>
      <c r="AE36" s="1608"/>
      <c r="AF36" s="1608"/>
      <c r="AG36" s="1608"/>
      <c r="AH36" s="1608"/>
      <c r="AI36" s="1608"/>
      <c r="AJ36" s="1608"/>
      <c r="AK36" s="1608"/>
      <c r="AL36" s="1608"/>
    </row>
    <row r="37" spans="2:38" s="156" customFormat="1" ht="33.75" customHeight="1" x14ac:dyDescent="0.25">
      <c r="B37" s="1609" t="s">
        <v>765</v>
      </c>
      <c r="C37" s="1609"/>
      <c r="D37" s="1609"/>
      <c r="E37" s="1609"/>
      <c r="F37" s="1609"/>
      <c r="G37" s="1609"/>
      <c r="H37" s="1609"/>
      <c r="I37" s="1609"/>
      <c r="J37" s="1609"/>
      <c r="K37" s="1609"/>
      <c r="L37" s="1609"/>
      <c r="M37" s="1609"/>
      <c r="N37" s="1609"/>
      <c r="O37" s="1609"/>
      <c r="P37" s="1609"/>
      <c r="Q37" s="1609"/>
      <c r="R37" s="1609"/>
      <c r="S37" s="1609"/>
      <c r="T37" s="1609"/>
      <c r="U37" s="1609"/>
      <c r="V37" s="1609"/>
      <c r="W37" s="1609"/>
      <c r="X37" s="1609"/>
      <c r="Y37" s="1609"/>
      <c r="Z37" s="1609"/>
      <c r="AA37" s="1609"/>
      <c r="AB37" s="1609"/>
      <c r="AC37" s="1609"/>
      <c r="AD37" s="1609"/>
      <c r="AE37" s="1609"/>
      <c r="AF37" s="1609"/>
      <c r="AG37" s="1609"/>
      <c r="AH37" s="1609"/>
      <c r="AI37" s="1609"/>
      <c r="AJ37" s="1609"/>
      <c r="AK37" s="1609"/>
      <c r="AL37" s="1609"/>
    </row>
    <row r="38" spans="2:38" s="156" customFormat="1" ht="33.75" customHeight="1" x14ac:dyDescent="0.25">
      <c r="B38" s="1609" t="s">
        <v>81</v>
      </c>
      <c r="C38" s="1609"/>
      <c r="D38" s="1609"/>
      <c r="E38" s="1609"/>
      <c r="F38" s="1609"/>
      <c r="G38" s="1609"/>
      <c r="H38" s="1609"/>
      <c r="I38" s="1609"/>
      <c r="J38" s="1609"/>
      <c r="K38" s="1609"/>
      <c r="L38" s="1609"/>
      <c r="M38" s="1609"/>
      <c r="N38" s="1609"/>
      <c r="O38" s="1609"/>
      <c r="P38" s="1609"/>
      <c r="Q38" s="1609"/>
      <c r="R38" s="1609"/>
      <c r="S38" s="1609"/>
      <c r="T38" s="1609"/>
      <c r="U38" s="1609"/>
      <c r="V38" s="1609"/>
      <c r="W38" s="1609"/>
      <c r="X38" s="1609"/>
      <c r="Y38" s="1609"/>
      <c r="Z38" s="1609"/>
      <c r="AA38" s="1609"/>
      <c r="AB38" s="1609"/>
      <c r="AC38" s="1609"/>
      <c r="AD38" s="1609"/>
      <c r="AE38" s="1609"/>
      <c r="AF38" s="1609"/>
      <c r="AG38" s="1609"/>
      <c r="AH38" s="1609"/>
      <c r="AI38" s="1609"/>
      <c r="AJ38" s="1609"/>
      <c r="AK38" s="1609"/>
      <c r="AL38" s="1609"/>
    </row>
    <row r="39" spans="2:38" s="156" customFormat="1" ht="33" customHeight="1" x14ac:dyDescent="0.25">
      <c r="B39" s="1608" t="s">
        <v>763</v>
      </c>
      <c r="C39" s="1608"/>
      <c r="D39" s="1608"/>
      <c r="E39" s="1608"/>
      <c r="F39" s="1608"/>
      <c r="G39" s="1608"/>
      <c r="H39" s="1608"/>
      <c r="I39" s="1608"/>
      <c r="J39" s="1608"/>
      <c r="K39" s="1608"/>
      <c r="L39" s="1608"/>
      <c r="M39" s="1608"/>
      <c r="N39" s="1608"/>
      <c r="O39" s="1608"/>
      <c r="P39" s="1608"/>
      <c r="Q39" s="1608"/>
      <c r="R39" s="1608"/>
      <c r="S39" s="1608"/>
      <c r="T39" s="1608"/>
      <c r="U39" s="1608"/>
      <c r="V39" s="1608"/>
      <c r="W39" s="1608"/>
      <c r="X39" s="1608"/>
      <c r="Y39" s="1608"/>
      <c r="Z39" s="1608"/>
      <c r="AA39" s="1608"/>
      <c r="AB39" s="1608"/>
      <c r="AC39" s="1608"/>
      <c r="AD39" s="1608"/>
      <c r="AE39" s="1608"/>
      <c r="AF39" s="1608"/>
      <c r="AG39" s="1608"/>
      <c r="AH39" s="1608"/>
      <c r="AI39" s="1608"/>
      <c r="AJ39" s="1608"/>
      <c r="AK39" s="1608"/>
      <c r="AL39" s="1608"/>
    </row>
    <row r="40" spans="2:38" s="156" customFormat="1" ht="35.25" customHeight="1" x14ac:dyDescent="0.25">
      <c r="B40" s="1608" t="s">
        <v>764</v>
      </c>
      <c r="C40" s="1608"/>
      <c r="D40" s="1608"/>
      <c r="E40" s="1608"/>
      <c r="F40" s="1608"/>
      <c r="G40" s="1608"/>
      <c r="H40" s="1608"/>
      <c r="I40" s="1608"/>
      <c r="J40" s="1608"/>
      <c r="K40" s="1608"/>
      <c r="L40" s="1608"/>
      <c r="M40" s="1608"/>
      <c r="N40" s="1608"/>
      <c r="O40" s="1608"/>
      <c r="P40" s="1608"/>
      <c r="Q40" s="1608"/>
      <c r="R40" s="1608"/>
      <c r="S40" s="1608"/>
      <c r="T40" s="1608"/>
      <c r="U40" s="1608"/>
      <c r="V40" s="1608"/>
      <c r="W40" s="1608"/>
      <c r="X40" s="1608"/>
      <c r="Y40" s="1608"/>
      <c r="Z40" s="1608"/>
      <c r="AA40" s="1608"/>
      <c r="AB40" s="1608"/>
      <c r="AC40" s="1608"/>
      <c r="AD40" s="1608"/>
      <c r="AE40" s="1608"/>
      <c r="AF40" s="1608"/>
      <c r="AG40" s="1608"/>
      <c r="AH40" s="1608"/>
      <c r="AI40" s="1608"/>
      <c r="AJ40" s="1608"/>
      <c r="AK40" s="1608"/>
      <c r="AL40" s="1608"/>
    </row>
    <row r="41" spans="2:38" s="156" customFormat="1" ht="34.5" customHeight="1" x14ac:dyDescent="0.25">
      <c r="B41" s="1608" t="s">
        <v>761</v>
      </c>
      <c r="C41" s="1608"/>
      <c r="D41" s="1608"/>
      <c r="E41" s="1608"/>
      <c r="F41" s="1608"/>
      <c r="G41" s="1608"/>
      <c r="H41" s="1608"/>
      <c r="I41" s="1608"/>
      <c r="J41" s="1608"/>
      <c r="K41" s="1608"/>
      <c r="L41" s="1608"/>
      <c r="M41" s="1608"/>
      <c r="N41" s="1608"/>
      <c r="O41" s="1608"/>
      <c r="P41" s="1608"/>
      <c r="Q41" s="1608"/>
      <c r="R41" s="1608"/>
      <c r="S41" s="1608"/>
      <c r="T41" s="1608"/>
      <c r="U41" s="1608"/>
      <c r="V41" s="1608"/>
      <c r="W41" s="1608"/>
      <c r="X41" s="1608"/>
      <c r="Y41" s="1608"/>
      <c r="Z41" s="1608"/>
      <c r="AA41" s="1608"/>
      <c r="AB41" s="1608"/>
      <c r="AC41" s="1608"/>
      <c r="AD41" s="1608"/>
      <c r="AE41" s="1608"/>
      <c r="AF41" s="1608"/>
      <c r="AG41" s="1608"/>
      <c r="AH41" s="1608"/>
      <c r="AI41" s="1608"/>
      <c r="AJ41" s="1608"/>
      <c r="AK41" s="1608"/>
      <c r="AL41" s="1608"/>
    </row>
    <row r="42" spans="2:38" s="156" customFormat="1" ht="7.5" customHeight="1" x14ac:dyDescent="0.25">
      <c r="B42" s="1511"/>
      <c r="C42" s="1503"/>
      <c r="D42" s="1509"/>
      <c r="E42" s="1519"/>
      <c r="F42" s="1503"/>
      <c r="G42" s="1503"/>
      <c r="H42" s="1517"/>
      <c r="I42" s="1517"/>
      <c r="J42" s="1503"/>
      <c r="K42" s="1517"/>
      <c r="L42" s="1517"/>
      <c r="M42" s="1503"/>
      <c r="N42" s="1517"/>
      <c r="O42" s="1517"/>
      <c r="P42" s="1503"/>
      <c r="Q42" s="1517"/>
      <c r="R42" s="1517"/>
      <c r="S42" s="1503"/>
      <c r="T42" s="1517"/>
      <c r="U42" s="1517"/>
      <c r="V42" s="1518"/>
      <c r="W42" s="1517"/>
      <c r="X42" s="1517"/>
      <c r="Y42" s="1503"/>
      <c r="Z42" s="1517"/>
      <c r="AA42" s="1517"/>
      <c r="AB42" s="1503"/>
      <c r="AC42" s="1517"/>
      <c r="AD42" s="1517"/>
      <c r="AE42" s="1503"/>
      <c r="AF42" s="1517"/>
      <c r="AG42" s="1517"/>
      <c r="AH42" s="1503"/>
      <c r="AI42" s="1517"/>
      <c r="AJ42" s="1503"/>
    </row>
    <row r="43" spans="2:38" s="156" customFormat="1" ht="20.149999999999999" customHeight="1" x14ac:dyDescent="0.25">
      <c r="B43" s="1511" t="s">
        <v>770</v>
      </c>
      <c r="C43" s="1503"/>
      <c r="D43" s="1509"/>
      <c r="E43" s="1519"/>
      <c r="F43" s="1503"/>
      <c r="G43" s="1503"/>
      <c r="H43" s="1517"/>
      <c r="I43" s="1517"/>
      <c r="J43" s="1503"/>
      <c r="K43" s="1517"/>
      <c r="L43" s="1517"/>
      <c r="M43" s="1503"/>
      <c r="N43" s="1517"/>
      <c r="O43" s="1517"/>
      <c r="P43" s="1503"/>
      <c r="Q43" s="1517"/>
      <c r="R43" s="1517"/>
      <c r="S43" s="1503"/>
      <c r="T43" s="1517"/>
      <c r="U43" s="1517"/>
      <c r="V43" s="1518"/>
      <c r="W43" s="1517"/>
      <c r="X43" s="1517"/>
      <c r="Y43" s="1503"/>
      <c r="Z43" s="1517"/>
      <c r="AA43" s="1517"/>
      <c r="AB43" s="1503"/>
      <c r="AC43" s="1517"/>
      <c r="AD43" s="1517"/>
      <c r="AE43" s="1503"/>
      <c r="AF43" s="1517"/>
      <c r="AG43" s="1517"/>
      <c r="AH43" s="1503"/>
      <c r="AI43" s="1517"/>
      <c r="AJ43" s="1503"/>
    </row>
    <row r="44" spans="2:38" s="156" customFormat="1" ht="33.75" customHeight="1" x14ac:dyDescent="0.25">
      <c r="B44" s="1607" t="s">
        <v>78</v>
      </c>
      <c r="C44" s="1607"/>
      <c r="D44" s="1607"/>
      <c r="E44" s="1607"/>
      <c r="F44" s="1607"/>
      <c r="G44" s="1607"/>
      <c r="H44" s="1607"/>
      <c r="I44" s="1607"/>
      <c r="J44" s="1607"/>
      <c r="K44" s="1607"/>
      <c r="L44" s="1607"/>
      <c r="M44" s="1607"/>
      <c r="N44" s="1607"/>
      <c r="O44" s="1607"/>
      <c r="P44" s="1607"/>
      <c r="Q44" s="1607"/>
      <c r="R44" s="1607"/>
      <c r="S44" s="1607"/>
      <c r="T44" s="1607"/>
      <c r="U44" s="1607"/>
      <c r="V44" s="1607"/>
      <c r="W44" s="1607"/>
      <c r="X44" s="1607"/>
      <c r="Y44" s="1607"/>
      <c r="Z44" s="1607"/>
      <c r="AA44" s="1607"/>
      <c r="AB44" s="1607"/>
      <c r="AC44" s="1607"/>
      <c r="AD44" s="1607"/>
      <c r="AE44" s="1607"/>
      <c r="AF44" s="1607"/>
      <c r="AG44" s="1607"/>
      <c r="AH44" s="1607"/>
      <c r="AI44" s="1607"/>
      <c r="AJ44" s="1607"/>
      <c r="AK44" s="1607"/>
      <c r="AL44" s="1607"/>
    </row>
    <row r="45" spans="2:38" s="156" customFormat="1" ht="20.149999999999999" customHeight="1" x14ac:dyDescent="0.25">
      <c r="B45" s="1576" t="s">
        <v>79</v>
      </c>
      <c r="C45" s="1503"/>
      <c r="D45" s="1509"/>
      <c r="E45" s="1519"/>
      <c r="F45" s="1503"/>
      <c r="G45" s="1503"/>
      <c r="H45" s="1517"/>
      <c r="I45" s="1503"/>
      <c r="J45" s="1503"/>
      <c r="K45" s="1503"/>
      <c r="L45" s="1503"/>
      <c r="M45" s="1503"/>
      <c r="N45" s="1517"/>
      <c r="O45" s="1517"/>
      <c r="P45" s="1503"/>
      <c r="Q45" s="1517"/>
      <c r="R45" s="1517"/>
      <c r="S45" s="1503"/>
      <c r="T45" s="1517"/>
      <c r="U45" s="1517"/>
      <c r="V45" s="1518"/>
      <c r="W45" s="1517"/>
      <c r="X45" s="1517"/>
      <c r="Y45" s="1503"/>
      <c r="Z45" s="1517"/>
      <c r="AA45" s="1517"/>
      <c r="AB45" s="1503"/>
      <c r="AC45" s="1517"/>
      <c r="AD45" s="1517"/>
      <c r="AE45" s="1503"/>
      <c r="AF45" s="1517"/>
      <c r="AG45" s="1517"/>
      <c r="AH45" s="1503"/>
      <c r="AI45" s="1517"/>
      <c r="AJ45" s="1503"/>
    </row>
    <row r="46" spans="2:38" s="156" customFormat="1" ht="8.25" customHeight="1" x14ac:dyDescent="0.25">
      <c r="B46" s="1576"/>
      <c r="C46" s="1503"/>
      <c r="D46" s="1509"/>
      <c r="E46" s="1519"/>
      <c r="F46" s="1503"/>
      <c r="G46" s="1503"/>
      <c r="H46" s="1517"/>
      <c r="I46" s="1503"/>
      <c r="J46" s="1503"/>
      <c r="K46" s="1503"/>
      <c r="L46" s="1503"/>
      <c r="M46" s="1503"/>
      <c r="N46" s="1517"/>
      <c r="O46" s="1517"/>
      <c r="P46" s="1503"/>
      <c r="Q46" s="1517"/>
      <c r="R46" s="1517"/>
      <c r="S46" s="1501"/>
      <c r="T46" s="1514"/>
      <c r="U46" s="1514"/>
      <c r="V46" s="1515"/>
      <c r="W46" s="1514"/>
      <c r="X46" s="1514"/>
      <c r="Y46" s="1501"/>
      <c r="Z46" s="1514"/>
      <c r="AA46" s="1514"/>
      <c r="AB46" s="1501"/>
      <c r="AC46" s="1517"/>
      <c r="AD46" s="1517"/>
      <c r="AE46" s="1503"/>
      <c r="AF46" s="1517"/>
      <c r="AG46" s="1517"/>
      <c r="AH46" s="1503"/>
      <c r="AI46" s="1517"/>
      <c r="AJ46" s="1503"/>
    </row>
    <row r="47" spans="2:38" s="156" customFormat="1" ht="20.149999999999999" customHeight="1" x14ac:dyDescent="0.25">
      <c r="B47" s="1576" t="s">
        <v>768</v>
      </c>
      <c r="C47" s="1503"/>
      <c r="D47" s="1509"/>
      <c r="E47" s="1519"/>
      <c r="F47" s="1503"/>
      <c r="G47" s="1503"/>
      <c r="H47" s="1517"/>
      <c r="I47" s="1517"/>
      <c r="J47" s="1503"/>
      <c r="K47" s="1517"/>
      <c r="L47" s="1517"/>
      <c r="M47" s="1503"/>
      <c r="N47" s="1517"/>
      <c r="O47" s="1517"/>
      <c r="P47" s="1503"/>
      <c r="Q47" s="1517"/>
      <c r="R47" s="1517"/>
      <c r="S47" s="1503"/>
      <c r="T47" s="1517"/>
      <c r="U47" s="1517"/>
      <c r="V47" s="1518"/>
      <c r="W47" s="1517"/>
      <c r="X47" s="1517"/>
      <c r="Y47" s="1503"/>
      <c r="Z47" s="1517"/>
      <c r="AA47" s="1517"/>
      <c r="AB47" s="1503"/>
      <c r="AC47" s="1517"/>
      <c r="AD47" s="1517"/>
      <c r="AE47" s="1503"/>
      <c r="AF47" s="1517"/>
      <c r="AG47" s="1517"/>
      <c r="AH47" s="1503"/>
      <c r="AI47" s="1517"/>
      <c r="AJ47" s="1503"/>
    </row>
    <row r="48" spans="2:38" s="158" customFormat="1" ht="17.25" customHeight="1" x14ac:dyDescent="0.25">
      <c r="B48" s="1577" t="s">
        <v>769</v>
      </c>
      <c r="C48" s="1481"/>
      <c r="D48" s="1478"/>
      <c r="E48" s="1482"/>
      <c r="F48" s="1481"/>
      <c r="G48" s="1481"/>
      <c r="H48" s="1483"/>
      <c r="I48" s="1483"/>
      <c r="J48" s="1481"/>
      <c r="K48" s="1483"/>
      <c r="L48" s="1483"/>
      <c r="M48" s="1481"/>
      <c r="N48" s="1483"/>
      <c r="O48" s="1483"/>
      <c r="P48" s="1481"/>
      <c r="Q48" s="1483"/>
      <c r="R48" s="1483"/>
      <c r="S48" s="1481"/>
      <c r="T48" s="1483"/>
      <c r="U48" s="1483"/>
      <c r="V48" s="1484"/>
      <c r="W48" s="1483"/>
      <c r="X48" s="1483"/>
      <c r="Y48" s="1481"/>
      <c r="Z48" s="1483"/>
      <c r="AA48" s="1483"/>
      <c r="AB48" s="1481"/>
      <c r="AC48" s="1483"/>
      <c r="AD48" s="1483"/>
      <c r="AE48" s="1481"/>
      <c r="AF48" s="1483"/>
      <c r="AG48" s="1483"/>
      <c r="AH48" s="1481"/>
      <c r="AI48" s="1483"/>
      <c r="AJ48" s="1481"/>
    </row>
    <row r="49" spans="4:35" s="161" customFormat="1" ht="20.149999999999999" customHeight="1" x14ac:dyDescent="0.25">
      <c r="D49" s="6"/>
      <c r="E49" s="191"/>
      <c r="H49" s="186"/>
      <c r="I49" s="186"/>
      <c r="K49" s="186"/>
      <c r="L49" s="186"/>
      <c r="N49" s="186"/>
      <c r="O49" s="186"/>
      <c r="Q49" s="186"/>
      <c r="R49" s="186"/>
      <c r="T49" s="186"/>
      <c r="U49" s="186"/>
      <c r="V49" s="1466"/>
      <c r="W49" s="186"/>
      <c r="X49" s="186"/>
      <c r="Z49" s="186"/>
      <c r="AA49" s="186"/>
      <c r="AC49" s="186"/>
      <c r="AD49" s="186"/>
      <c r="AF49" s="186"/>
      <c r="AG49" s="186"/>
      <c r="AI49" s="186"/>
    </row>
    <row r="50" spans="4:35" s="161" customFormat="1" ht="20.149999999999999" customHeight="1" x14ac:dyDescent="0.25">
      <c r="D50" s="6"/>
      <c r="E50" s="191"/>
      <c r="H50" s="186"/>
      <c r="N50" s="186"/>
      <c r="O50" s="186"/>
      <c r="Q50" s="186"/>
      <c r="R50" s="186"/>
      <c r="T50" s="186"/>
      <c r="U50" s="186"/>
      <c r="V50" s="1466"/>
      <c r="W50" s="186"/>
      <c r="X50" s="186"/>
      <c r="Z50" s="186"/>
      <c r="AA50" s="186"/>
      <c r="AC50" s="186"/>
      <c r="AD50" s="186"/>
      <c r="AF50" s="186"/>
      <c r="AG50" s="186"/>
      <c r="AI50" s="186"/>
    </row>
  </sheetData>
  <sheetProtection selectLockedCells="1" selectUnlockedCells="1"/>
  <mergeCells count="25">
    <mergeCell ref="B40:AL40"/>
    <mergeCell ref="B41:AL41"/>
    <mergeCell ref="B37:AL37"/>
    <mergeCell ref="B38:AL38"/>
    <mergeCell ref="B44:AL44"/>
    <mergeCell ref="B36:AL36"/>
    <mergeCell ref="B39:AL39"/>
    <mergeCell ref="M7:O7"/>
    <mergeCell ref="P7:R7"/>
    <mergeCell ref="S7:U7"/>
    <mergeCell ref="V7:X7"/>
    <mergeCell ref="Y7:AA7"/>
    <mergeCell ref="AB7:AD7"/>
    <mergeCell ref="B2:AJ2"/>
    <mergeCell ref="B3:AJ3"/>
    <mergeCell ref="B5:AJ5"/>
    <mergeCell ref="B6:AJ6"/>
    <mergeCell ref="B7:B8"/>
    <mergeCell ref="D7:D8"/>
    <mergeCell ref="E7:E8"/>
    <mergeCell ref="G7:I7"/>
    <mergeCell ref="J7:L7"/>
    <mergeCell ref="AE7:AG7"/>
    <mergeCell ref="AH7:AJ7"/>
    <mergeCell ref="B4:AD4"/>
  </mergeCells>
  <printOptions horizontalCentered="1"/>
  <pageMargins left="0" right="0" top="0.98425196850393704" bottom="0.59055118110236227" header="0" footer="0"/>
  <pageSetup scale="71" firstPageNumber="0" orientation="portrait" r:id="rId1"/>
  <headerFooter alignWithMargins="0"/>
  <ignoredErrors>
    <ignoredError sqref="J10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999FF"/>
    <pageSetUpPr fitToPage="1"/>
  </sheetPr>
  <dimension ref="B1:AL50"/>
  <sheetViews>
    <sheetView showGridLines="0" zoomScale="130" zoomScaleNormal="130" workbookViewId="0">
      <selection activeCell="B4" sqref="B4:AG4"/>
    </sheetView>
  </sheetViews>
  <sheetFormatPr baseColWidth="10" defaultColWidth="11.453125" defaultRowHeight="13" x14ac:dyDescent="0.25"/>
  <cols>
    <col min="1" max="1" width="3.453125" style="30" customWidth="1"/>
    <col min="2" max="2" width="32.54296875" style="30" customWidth="1"/>
    <col min="3" max="3" width="0.81640625" style="30" customWidth="1"/>
    <col min="4" max="4" width="15.7265625" style="31" hidden="1" customWidth="1"/>
    <col min="5" max="5" width="9.26953125" style="193" hidden="1" customWidth="1"/>
    <col min="6" max="6" width="1" style="30" hidden="1" customWidth="1"/>
    <col min="7" max="7" width="15.7265625" style="30" hidden="1" customWidth="1"/>
    <col min="8" max="9" width="7.7265625" style="185" hidden="1" customWidth="1"/>
    <col min="10" max="10" width="15.7265625" style="30" hidden="1" customWidth="1"/>
    <col min="11" max="12" width="7.7265625" style="185" hidden="1" customWidth="1"/>
    <col min="13" max="13" width="15.7265625" style="30" hidden="1" customWidth="1"/>
    <col min="14" max="15" width="7.7265625" style="185" hidden="1" customWidth="1"/>
    <col min="16" max="16" width="15.7265625" style="30" hidden="1" customWidth="1"/>
    <col min="17" max="18" width="7.7265625" style="185" hidden="1" customWidth="1"/>
    <col min="19" max="19" width="15.7265625" style="30" hidden="1" customWidth="1"/>
    <col min="20" max="21" width="7.7265625" style="185" hidden="1" customWidth="1"/>
    <col min="22" max="22" width="15.7265625" style="1465" hidden="1" customWidth="1"/>
    <col min="23" max="24" width="7.7265625" style="185" hidden="1" customWidth="1"/>
    <col min="25" max="25" width="15.7265625" style="30" hidden="1" customWidth="1"/>
    <col min="26" max="27" width="7.7265625" style="185" hidden="1" customWidth="1"/>
    <col min="28" max="28" width="15.7265625" style="30" hidden="1" customWidth="1"/>
    <col min="29" max="30" width="7.7265625" style="185" hidden="1" customWidth="1"/>
    <col min="31" max="31" width="15.7265625" style="30" customWidth="1"/>
    <col min="32" max="33" width="7.7265625" style="185" customWidth="1"/>
    <col min="34" max="34" width="15.7265625" style="30" hidden="1" customWidth="1"/>
    <col min="35" max="35" width="7.7265625" style="185" hidden="1" customWidth="1"/>
    <col min="36" max="36" width="7.7265625" style="30" hidden="1" customWidth="1"/>
    <col min="37" max="16384" width="11.453125" style="30"/>
  </cols>
  <sheetData>
    <row r="1" spans="2:36" ht="15.5" x14ac:dyDescent="0.25">
      <c r="B1" s="137"/>
      <c r="C1" s="138"/>
      <c r="D1" s="138"/>
      <c r="E1" s="182"/>
      <c r="F1" s="138"/>
      <c r="G1" s="138"/>
      <c r="H1" s="182"/>
      <c r="I1" s="182"/>
      <c r="J1" s="138"/>
      <c r="K1" s="182"/>
      <c r="L1" s="182"/>
      <c r="M1" s="138"/>
      <c r="N1" s="182"/>
      <c r="O1" s="182"/>
      <c r="P1" s="138"/>
      <c r="Q1" s="182"/>
      <c r="R1" s="182"/>
      <c r="S1" s="138"/>
      <c r="T1" s="182"/>
      <c r="U1" s="182"/>
      <c r="V1" s="1457"/>
      <c r="W1" s="182"/>
      <c r="X1" s="182"/>
      <c r="Y1" s="138"/>
      <c r="Z1" s="182"/>
      <c r="AA1" s="182"/>
      <c r="AB1" s="138"/>
      <c r="AC1" s="182"/>
      <c r="AD1" s="182"/>
      <c r="AE1" s="138"/>
      <c r="AF1" s="182"/>
      <c r="AG1" s="182"/>
      <c r="AH1" s="138"/>
      <c r="AI1" s="182"/>
    </row>
    <row r="2" spans="2:36" ht="21" customHeight="1" x14ac:dyDescent="0.25">
      <c r="B2" s="1605" t="s">
        <v>0</v>
      </c>
      <c r="C2" s="1605"/>
      <c r="D2" s="1605"/>
      <c r="E2" s="1605"/>
      <c r="F2" s="1605"/>
      <c r="G2" s="1605"/>
      <c r="H2" s="1605"/>
      <c r="I2" s="1605"/>
      <c r="J2" s="1605"/>
      <c r="K2" s="1605"/>
      <c r="L2" s="1605"/>
      <c r="M2" s="1605"/>
      <c r="N2" s="1605"/>
      <c r="O2" s="1605"/>
      <c r="P2" s="1605"/>
      <c r="Q2" s="1605"/>
      <c r="R2" s="1605"/>
      <c r="S2" s="1605"/>
      <c r="T2" s="1605"/>
      <c r="U2" s="1605"/>
      <c r="V2" s="1605"/>
      <c r="W2" s="1605"/>
      <c r="X2" s="1605"/>
      <c r="Y2" s="1605"/>
      <c r="Z2" s="1605"/>
      <c r="AA2" s="1605"/>
      <c r="AB2" s="1605"/>
      <c r="AC2" s="1605"/>
      <c r="AD2" s="1605"/>
      <c r="AE2" s="1605"/>
      <c r="AF2" s="1605"/>
      <c r="AG2" s="1605"/>
      <c r="AH2" s="1605"/>
      <c r="AI2" s="1605"/>
      <c r="AJ2" s="1605"/>
    </row>
    <row r="3" spans="2:36" ht="21" customHeight="1" x14ac:dyDescent="0.25">
      <c r="B3" s="1605" t="s">
        <v>1</v>
      </c>
      <c r="C3" s="1605"/>
      <c r="D3" s="1605"/>
      <c r="E3" s="1605"/>
      <c r="F3" s="1605"/>
      <c r="G3" s="1605"/>
      <c r="H3" s="1605"/>
      <c r="I3" s="1605"/>
      <c r="J3" s="1605"/>
      <c r="K3" s="1605"/>
      <c r="L3" s="1605"/>
      <c r="M3" s="1605"/>
      <c r="N3" s="1605"/>
      <c r="O3" s="1605"/>
      <c r="P3" s="1605"/>
      <c r="Q3" s="1605"/>
      <c r="R3" s="1605"/>
      <c r="S3" s="1605"/>
      <c r="T3" s="1605"/>
      <c r="U3" s="1605"/>
      <c r="V3" s="1605"/>
      <c r="W3" s="1605"/>
      <c r="X3" s="1605"/>
      <c r="Y3" s="1605"/>
      <c r="Z3" s="1605"/>
      <c r="AA3" s="1605"/>
      <c r="AB3" s="1605"/>
      <c r="AC3" s="1605"/>
      <c r="AD3" s="1605"/>
      <c r="AE3" s="1605"/>
      <c r="AF3" s="1605"/>
      <c r="AG3" s="1605"/>
      <c r="AH3" s="1605"/>
      <c r="AI3" s="1605"/>
      <c r="AJ3" s="1605"/>
    </row>
    <row r="4" spans="2:36" ht="54.75" customHeight="1" x14ac:dyDescent="0.25">
      <c r="B4" s="1606" t="s">
        <v>775</v>
      </c>
      <c r="C4" s="1606"/>
      <c r="D4" s="1606"/>
      <c r="E4" s="1606"/>
      <c r="F4" s="1606"/>
      <c r="G4" s="1606"/>
      <c r="H4" s="1606"/>
      <c r="I4" s="1606"/>
      <c r="J4" s="1606"/>
      <c r="K4" s="1606"/>
      <c r="L4" s="1606"/>
      <c r="M4" s="1606"/>
      <c r="N4" s="1606"/>
      <c r="O4" s="1606"/>
      <c r="P4" s="1606"/>
      <c r="Q4" s="1606"/>
      <c r="R4" s="1606"/>
      <c r="S4" s="1606"/>
      <c r="T4" s="1606"/>
      <c r="U4" s="1606"/>
      <c r="V4" s="1606"/>
      <c r="W4" s="1606"/>
      <c r="X4" s="1606"/>
      <c r="Y4" s="1606"/>
      <c r="Z4" s="1606"/>
      <c r="AA4" s="1606"/>
      <c r="AB4" s="1606"/>
      <c r="AC4" s="1606"/>
      <c r="AD4" s="1606"/>
      <c r="AE4" s="1606"/>
      <c r="AF4" s="1606"/>
      <c r="AG4" s="1606"/>
      <c r="AH4" s="1566"/>
      <c r="AI4" s="1566"/>
      <c r="AJ4" s="1566"/>
    </row>
    <row r="5" spans="2:36" ht="21" customHeight="1" x14ac:dyDescent="0.25">
      <c r="B5" s="1605" t="s">
        <v>732</v>
      </c>
      <c r="C5" s="1605"/>
      <c r="D5" s="1605"/>
      <c r="E5" s="1605"/>
      <c r="F5" s="1605"/>
      <c r="G5" s="1605"/>
      <c r="H5" s="1605"/>
      <c r="I5" s="1605"/>
      <c r="J5" s="1605"/>
      <c r="K5" s="1605"/>
      <c r="L5" s="1605"/>
      <c r="M5" s="1605"/>
      <c r="N5" s="1605"/>
      <c r="O5" s="1605"/>
      <c r="P5" s="1605"/>
      <c r="Q5" s="1605"/>
      <c r="R5" s="1605"/>
      <c r="S5" s="1605"/>
      <c r="T5" s="1605"/>
      <c r="U5" s="1605"/>
      <c r="V5" s="1605"/>
      <c r="W5" s="1605"/>
      <c r="X5" s="1605"/>
      <c r="Y5" s="1605"/>
      <c r="Z5" s="1605"/>
      <c r="AA5" s="1605"/>
      <c r="AB5" s="1605"/>
      <c r="AC5" s="1605"/>
      <c r="AD5" s="1605"/>
      <c r="AE5" s="1605"/>
      <c r="AF5" s="1605"/>
      <c r="AG5" s="1605"/>
      <c r="AH5" s="1605"/>
      <c r="AI5" s="1605"/>
      <c r="AJ5" s="1605"/>
    </row>
    <row r="6" spans="2:36" ht="21" customHeight="1" x14ac:dyDescent="0.25">
      <c r="B6" s="1605" t="s">
        <v>4</v>
      </c>
      <c r="C6" s="1605"/>
      <c r="D6" s="1605"/>
      <c r="E6" s="1605"/>
      <c r="F6" s="1605"/>
      <c r="G6" s="1605"/>
      <c r="H6" s="1605"/>
      <c r="I6" s="1605"/>
      <c r="J6" s="1605"/>
      <c r="K6" s="1605"/>
      <c r="L6" s="1605"/>
      <c r="M6" s="1605"/>
      <c r="N6" s="1605"/>
      <c r="O6" s="1605"/>
      <c r="P6" s="1605"/>
      <c r="Q6" s="1605"/>
      <c r="R6" s="1605"/>
      <c r="S6" s="1605"/>
      <c r="T6" s="1605"/>
      <c r="U6" s="1605"/>
      <c r="V6" s="1605"/>
      <c r="W6" s="1605"/>
      <c r="X6" s="1605"/>
      <c r="Y6" s="1605"/>
      <c r="Z6" s="1605"/>
      <c r="AA6" s="1605"/>
      <c r="AB6" s="1605"/>
      <c r="AC6" s="1605"/>
      <c r="AD6" s="1605"/>
      <c r="AE6" s="1605"/>
      <c r="AF6" s="1605"/>
      <c r="AG6" s="1605"/>
      <c r="AH6" s="1605"/>
      <c r="AI6" s="1605"/>
      <c r="AJ6" s="1605"/>
    </row>
    <row r="7" spans="2:36" s="151" customFormat="1" ht="34.5" customHeight="1" x14ac:dyDescent="0.25">
      <c r="B7" s="1598" t="s">
        <v>767</v>
      </c>
      <c r="C7" s="1485"/>
      <c r="D7" s="1598" t="s">
        <v>741</v>
      </c>
      <c r="E7" s="1600" t="s">
        <v>742</v>
      </c>
      <c r="F7" s="1485"/>
      <c r="G7" s="1602" t="s">
        <v>760</v>
      </c>
      <c r="H7" s="1603"/>
      <c r="I7" s="1604"/>
      <c r="J7" s="1602" t="s">
        <v>76</v>
      </c>
      <c r="K7" s="1603"/>
      <c r="L7" s="1604"/>
      <c r="M7" s="1597" t="s">
        <v>60</v>
      </c>
      <c r="N7" s="1597"/>
      <c r="O7" s="1597"/>
      <c r="P7" s="1597" t="s">
        <v>738</v>
      </c>
      <c r="Q7" s="1597"/>
      <c r="R7" s="1597"/>
      <c r="S7" s="1597" t="s">
        <v>739</v>
      </c>
      <c r="T7" s="1597"/>
      <c r="U7" s="1597"/>
      <c r="V7" s="1597" t="s">
        <v>736</v>
      </c>
      <c r="W7" s="1597"/>
      <c r="X7" s="1597"/>
      <c r="Y7" s="1597" t="s">
        <v>737</v>
      </c>
      <c r="Z7" s="1597"/>
      <c r="AA7" s="1597"/>
      <c r="AB7" s="1597" t="s">
        <v>63</v>
      </c>
      <c r="AC7" s="1597"/>
      <c r="AD7" s="1597"/>
      <c r="AE7" s="1597" t="s">
        <v>64</v>
      </c>
      <c r="AF7" s="1597"/>
      <c r="AG7" s="1597"/>
      <c r="AH7" s="1597" t="s">
        <v>735</v>
      </c>
      <c r="AI7" s="1597"/>
      <c r="AJ7" s="1597"/>
    </row>
    <row r="8" spans="2:36" s="14" customFormat="1" ht="34.5" customHeight="1" x14ac:dyDescent="0.25">
      <c r="B8" s="1599"/>
      <c r="C8" s="1487"/>
      <c r="D8" s="1599"/>
      <c r="E8" s="1601"/>
      <c r="F8" s="1487"/>
      <c r="G8" s="1488" t="s">
        <v>733</v>
      </c>
      <c r="H8" s="1489" t="s">
        <v>734</v>
      </c>
      <c r="I8" s="1490" t="s">
        <v>740</v>
      </c>
      <c r="J8" s="1491" t="s">
        <v>733</v>
      </c>
      <c r="K8" s="1491" t="s">
        <v>734</v>
      </c>
      <c r="L8" s="1491" t="s">
        <v>740</v>
      </c>
      <c r="M8" s="1492" t="s">
        <v>733</v>
      </c>
      <c r="N8" s="1493" t="s">
        <v>734</v>
      </c>
      <c r="O8" s="1493" t="s">
        <v>740</v>
      </c>
      <c r="P8" s="1492" t="s">
        <v>733</v>
      </c>
      <c r="Q8" s="1493" t="s">
        <v>734</v>
      </c>
      <c r="R8" s="1493" t="s">
        <v>740</v>
      </c>
      <c r="S8" s="1492" t="s">
        <v>733</v>
      </c>
      <c r="T8" s="1493" t="s">
        <v>734</v>
      </c>
      <c r="U8" s="1493" t="s">
        <v>740</v>
      </c>
      <c r="V8" s="1492" t="s">
        <v>733</v>
      </c>
      <c r="W8" s="1493" t="s">
        <v>734</v>
      </c>
      <c r="X8" s="1493" t="s">
        <v>740</v>
      </c>
      <c r="Y8" s="1492" t="s">
        <v>733</v>
      </c>
      <c r="Z8" s="1493" t="s">
        <v>734</v>
      </c>
      <c r="AA8" s="1489" t="s">
        <v>740</v>
      </c>
      <c r="AB8" s="1486" t="s">
        <v>733</v>
      </c>
      <c r="AC8" s="1520" t="s">
        <v>734</v>
      </c>
      <c r="AD8" s="1522" t="s">
        <v>740</v>
      </c>
      <c r="AE8" s="1521" t="s">
        <v>733</v>
      </c>
      <c r="AF8" s="1493" t="s">
        <v>734</v>
      </c>
      <c r="AG8" s="1493" t="s">
        <v>740</v>
      </c>
      <c r="AH8" s="1492" t="s">
        <v>733</v>
      </c>
      <c r="AI8" s="1489" t="s">
        <v>734</v>
      </c>
      <c r="AJ8" s="1522" t="s">
        <v>740</v>
      </c>
    </row>
    <row r="9" spans="2:36" s="14" customFormat="1" ht="6" customHeight="1" x14ac:dyDescent="0.25">
      <c r="B9" s="1494"/>
      <c r="C9" s="1494"/>
      <c r="D9" s="1495"/>
      <c r="E9" s="1496"/>
      <c r="F9" s="1494"/>
      <c r="G9" s="1494"/>
      <c r="H9" s="1497"/>
      <c r="I9" s="1494"/>
      <c r="J9" s="1494"/>
      <c r="K9" s="1494"/>
      <c r="L9" s="1494"/>
      <c r="M9" s="1494"/>
      <c r="N9" s="1494"/>
      <c r="O9" s="1494"/>
      <c r="P9" s="1494"/>
      <c r="Q9" s="1494"/>
      <c r="R9" s="1494"/>
      <c r="S9" s="1494"/>
      <c r="T9" s="1494"/>
      <c r="U9" s="1494"/>
      <c r="V9" s="1498"/>
      <c r="W9" s="1494"/>
      <c r="X9" s="1494"/>
      <c r="Y9" s="1494"/>
      <c r="Z9" s="1494"/>
      <c r="AA9" s="1494"/>
      <c r="AB9" s="1494"/>
      <c r="AC9" s="1494"/>
      <c r="AD9" s="1494"/>
      <c r="AE9" s="1494"/>
      <c r="AF9" s="1494"/>
      <c r="AG9" s="1494"/>
      <c r="AH9" s="1494"/>
      <c r="AI9" s="1494"/>
      <c r="AJ9" s="1494"/>
    </row>
    <row r="10" spans="2:36" s="1499" customFormat="1" ht="24" customHeight="1" x14ac:dyDescent="0.25">
      <c r="B10" s="1524" t="s">
        <v>17</v>
      </c>
      <c r="C10" s="1525"/>
      <c r="D10" s="1526">
        <f>G10+AB10+AE10+AH10</f>
        <v>11059579210.6</v>
      </c>
      <c r="E10" s="1527">
        <f>((G10*H10)+(AB10*AC10)+(AE10*AF10)+(AH10*AI10))/D10</f>
        <v>4.65E-2</v>
      </c>
      <c r="F10" s="1525"/>
      <c r="G10" s="1528">
        <f>G12+G16+G24+G26+G33</f>
        <v>9084776454.4500008</v>
      </c>
      <c r="H10" s="1529">
        <f>((G12*H12)+(G16*H16)+(G24*H24)+(G26*H26)+(G33*H33))/G10</f>
        <v>4.7100000000000003E-2</v>
      </c>
      <c r="I10" s="1530">
        <f>(($J$12*I12)+($J$16*I16)+($J$24*I24)+($J$26*I26)+($J$33*I33))/$J10</f>
        <v>6.15</v>
      </c>
      <c r="J10" s="1528">
        <f>J12+J16+J24+J26+J33</f>
        <v>548856782.88999999</v>
      </c>
      <c r="K10" s="1529">
        <f>(($J$12*K12)+($J$16*K16)+($J$24*K24)+($J$26*K26)+($J$33*K33))/$J10</f>
        <v>3.5200000000000002E-2</v>
      </c>
      <c r="L10" s="1530">
        <f>(($J$12*L12)+($J$16*L16)+($J$24*L24)+($J$26*L26)+($J$33*L33))/$J10</f>
        <v>2.2000000000000002</v>
      </c>
      <c r="M10" s="1528">
        <f>M12+M16+M24+M26+M33</f>
        <v>8535919671.5600004</v>
      </c>
      <c r="N10" s="1529">
        <f>((M12*N12)+(M16*N16)+(M24*N24)+(M26*N26)+(M33*N33))/M10</f>
        <v>4.7899999999999998E-2</v>
      </c>
      <c r="O10" s="1530">
        <f>(($M$12*O12)+($M$16*O16)+($M$24*O24)+($M$26*O26)+($M$33*O33))/$M10</f>
        <v>10.35</v>
      </c>
      <c r="P10" s="1528">
        <f>P12+P16+P24+P26+P33</f>
        <v>2910389428.27</v>
      </c>
      <c r="Q10" s="1531">
        <f>((P12*Q12)+(P16*Q16)+(P24*Q24)+(P26*Q26)+(P33*Q33))/P10</f>
        <v>4.9399999999999999E-2</v>
      </c>
      <c r="R10" s="1530">
        <f>(($P$12*R12)+($P$16*R16)+($P$24*R24)+($P$26*R26)+($P$33*R33))/$P10</f>
        <v>10.87</v>
      </c>
      <c r="S10" s="1528">
        <f>S12+S16+S24+S26+S33</f>
        <v>5414285592.8199997</v>
      </c>
      <c r="T10" s="1529">
        <f>((S12*T12)+(S16*T16)+(S24*T24)+(S26*T26)+(S33*T33))/S10</f>
        <v>4.7E-2</v>
      </c>
      <c r="U10" s="1530">
        <f>(($S$12*U12)+($S$16*U16)+($S$24*U24)+($S$26*U26)+($S$33*U33))/$S10</f>
        <v>10.25</v>
      </c>
      <c r="V10" s="1528">
        <f>V12+V16+V24+V26+V33</f>
        <v>197711916.50999999</v>
      </c>
      <c r="W10" s="1529">
        <f>((V12*W12)+(V16*W16)+(V24*W24)+(V26*W26)+(V33*W33))/V10</f>
        <v>5.0799999999999998E-2</v>
      </c>
      <c r="X10" s="1530">
        <f>(($V$12*X12)+($V$16*X16)+($V$24*X24)+($V$26*X26)+($V$33*X33))/$V10</f>
        <v>5.73</v>
      </c>
      <c r="Y10" s="1528">
        <f>Y12+Y16+Y24+Y26+Y33</f>
        <v>13532733.960000001</v>
      </c>
      <c r="Z10" s="1529">
        <f>((Y12*Z12)+(Y16*Z16)+(Y24*Z24)+(Y26*Z26)+(Y33*Z33))/Y10</f>
        <v>4.58E-2</v>
      </c>
      <c r="AA10" s="1530">
        <f>(($Y$12*AA12)+($Y$16*AA16)+($Y$24*AA24)+($Y$26*AA26)+($Y$33*AA33))/$Y10</f>
        <v>7.19</v>
      </c>
      <c r="AB10" s="1528">
        <f>AB12+AB16+AB24+AB26+AB33</f>
        <v>111459363.29000001</v>
      </c>
      <c r="AC10" s="1529">
        <f>((AB12*AC12)+(AB16*AC16)+(AB24*AC24)+(AB26*AC26)+(AB33*AC33))/AB10</f>
        <v>4.1500000000000002E-2</v>
      </c>
      <c r="AD10" s="1530">
        <f>(($AB$12*AD12)+($AB$16*AD16)+($AB$24*AD24)+($AB$26*AD26)+($AB$33*AD33))/$AB10</f>
        <v>3.8</v>
      </c>
      <c r="AE10" s="1528">
        <f>AE12+AE16+AE24+AE26+AE33</f>
        <v>1128798677.9100001</v>
      </c>
      <c r="AF10" s="1529">
        <f>((AE12*AF12)+(AE16*AF16)+(AE24*AF24)+(AE26*AF26)+(AE33*AF33))/AE10</f>
        <v>3.8899999999999997E-2</v>
      </c>
      <c r="AG10" s="1530">
        <f>(($AE$12*AG12)+($AE$16*AG16)+($AE$24*AG24)+($AE$26*AG26)+($AE$33*AG33))/$AE10</f>
        <v>1.01</v>
      </c>
      <c r="AH10" s="1528">
        <f>AH12+AH16+AH24+AH26+AH33</f>
        <v>734544714.95000005</v>
      </c>
      <c r="AI10" s="1529">
        <f>((AH12*AI12)+(AH16*AI16)+(AH24*AI24)+(AH26*AI26)+(AH33*AI33))/AH10</f>
        <v>5.0999999999999997E-2</v>
      </c>
      <c r="AJ10" s="1530">
        <f>(($AH$12*AJ12)+($AH$16*AJ16)+($AH$24*AJ24)+($AH$26*AJ26)+($AH$33*AJ33))/$AH10</f>
        <v>1.21</v>
      </c>
    </row>
    <row r="11" spans="2:36" s="14" customFormat="1" ht="6" customHeight="1" x14ac:dyDescent="0.25">
      <c r="B11" s="1532"/>
      <c r="C11" s="1532"/>
      <c r="D11" s="1533"/>
      <c r="E11" s="1534"/>
      <c r="F11" s="1532"/>
      <c r="G11" s="1532"/>
      <c r="H11" s="1535"/>
      <c r="I11" s="1535"/>
      <c r="J11" s="1532"/>
      <c r="K11" s="1535"/>
      <c r="L11" s="1535"/>
      <c r="M11" s="1532"/>
      <c r="N11" s="1535"/>
      <c r="O11" s="1535"/>
      <c r="P11" s="1535"/>
      <c r="Q11" s="1536"/>
      <c r="R11" s="1535"/>
      <c r="S11" s="1532"/>
      <c r="T11" s="1535"/>
      <c r="U11" s="1535"/>
      <c r="V11" s="1537"/>
      <c r="W11" s="1535"/>
      <c r="X11" s="1535"/>
      <c r="Y11" s="1532"/>
      <c r="Z11" s="1535"/>
      <c r="AA11" s="1535"/>
      <c r="AB11" s="1532"/>
      <c r="AC11" s="1535"/>
      <c r="AD11" s="1535"/>
      <c r="AE11" s="1532"/>
      <c r="AF11" s="1535"/>
      <c r="AG11" s="1535"/>
      <c r="AH11" s="1532"/>
      <c r="AI11" s="1535"/>
      <c r="AJ11" s="1535"/>
    </row>
    <row r="12" spans="2:36" s="147" customFormat="1" ht="31.5" customHeight="1" x14ac:dyDescent="0.25">
      <c r="B12" s="1565" t="s">
        <v>762</v>
      </c>
      <c r="C12" s="1500"/>
      <c r="D12" s="1538">
        <f>SUM(D13:D14)</f>
        <v>6646104389.3699999</v>
      </c>
      <c r="E12" s="1539">
        <f>((D13*E13)+(D14*E14))/D12</f>
        <v>4.58E-2</v>
      </c>
      <c r="F12" s="1500"/>
      <c r="G12" s="1538">
        <f>SUM(G13:G14)</f>
        <v>4784578598.8299999</v>
      </c>
      <c r="H12" s="1540">
        <f>((G13*H13)+(G14*H14))/G12</f>
        <v>4.7E-2</v>
      </c>
      <c r="I12" s="1541">
        <f>((G13*I13)+(G14*I14))/G12</f>
        <v>5.43</v>
      </c>
      <c r="J12" s="1538">
        <f t="shared" ref="J12:S12" si="0">SUM(J13:J14)</f>
        <v>512927528.72000003</v>
      </c>
      <c r="K12" s="1540">
        <f>((J13*K13)+(J14*K14))/J12</f>
        <v>3.49E-2</v>
      </c>
      <c r="L12" s="1541">
        <f>((J13*L13)+(J14*L14))/J12</f>
        <v>1.03</v>
      </c>
      <c r="M12" s="1538">
        <f>SUM(M13:M14)</f>
        <v>4271651070.1100001</v>
      </c>
      <c r="N12" s="1540">
        <f>((M13*N13)+(M14*N14))/M12</f>
        <v>4.8500000000000001E-2</v>
      </c>
      <c r="O12" s="1541">
        <f>((M13*O13)+(M14*O14))/M12</f>
        <v>5.97</v>
      </c>
      <c r="P12" s="1541">
        <f t="shared" si="0"/>
        <v>1517758102.45</v>
      </c>
      <c r="Q12" s="1540">
        <f>((P13*Q13)+(P14*Q14))/P12</f>
        <v>5.0299999999999997E-2</v>
      </c>
      <c r="R12" s="1541">
        <f>((P13*R13)+(P14*R14))/P12</f>
        <v>6.37</v>
      </c>
      <c r="S12" s="1538">
        <f t="shared" si="0"/>
        <v>2635470165.5999999</v>
      </c>
      <c r="T12" s="1540">
        <f>((S13*T13)+(S14*T14))/S12</f>
        <v>4.7399999999999998E-2</v>
      </c>
      <c r="U12" s="1541">
        <f>((S13*U13)+(S14*U14))/S12</f>
        <v>5.71</v>
      </c>
      <c r="V12" s="1538">
        <f>SUM(V13:V14)</f>
        <v>108019303.34999999</v>
      </c>
      <c r="W12" s="1540">
        <f>((V13*W13)+(V14*W14))/V12</f>
        <v>4.9599999999999998E-2</v>
      </c>
      <c r="X12" s="1541">
        <f>((V13*X13)+(V14*X14))/V12</f>
        <v>6.34</v>
      </c>
      <c r="Y12" s="1538">
        <f>SUM(Y13:Y14)</f>
        <v>10403498.710000001</v>
      </c>
      <c r="Z12" s="1540">
        <f>((Y13*Z13)+(Y14*Z14))/Y12</f>
        <v>4.8000000000000001E-2</v>
      </c>
      <c r="AA12" s="1541">
        <f>((Y13*AA13)+(Y14*AA14))/Y12</f>
        <v>6.46</v>
      </c>
      <c r="AB12" s="1538">
        <f>SUM(AB13:AB14)</f>
        <v>81801953.790000007</v>
      </c>
      <c r="AC12" s="1540">
        <f>((AB13*AC13)+(AB14*AC14))/AB12</f>
        <v>3.3500000000000002E-2</v>
      </c>
      <c r="AD12" s="1541">
        <f>((AB13*AD13)+(AB14*AD14))/AB12</f>
        <v>1.1000000000000001</v>
      </c>
      <c r="AE12" s="1538">
        <f t="shared" ref="AE12:AH12" si="1">SUM(AE13:AE14)</f>
        <v>1076875138.8</v>
      </c>
      <c r="AF12" s="1540">
        <f>((AE13*AF13)+(AE14*AF14))/AE12</f>
        <v>3.7999999999999999E-2</v>
      </c>
      <c r="AG12" s="1541">
        <f>((AE13*AG13)+(AE14*AG14))/AE12</f>
        <v>1.02</v>
      </c>
      <c r="AH12" s="1538">
        <f t="shared" si="1"/>
        <v>702848697.95000005</v>
      </c>
      <c r="AI12" s="1540">
        <f>((AH13*AI13)+(AH14*AI14))/AH12</f>
        <v>5.0599999999999999E-2</v>
      </c>
      <c r="AJ12" s="1541">
        <f>((AH13*AJ13)+(AH14*AJ14))/AH12</f>
        <v>1.2</v>
      </c>
    </row>
    <row r="13" spans="2:36" s="1475" customFormat="1" ht="18" customHeight="1" x14ac:dyDescent="0.25">
      <c r="B13" s="1476" t="s">
        <v>743</v>
      </c>
      <c r="C13" s="1500"/>
      <c r="D13" s="1506">
        <f>G13+AB13+AE13+AH13</f>
        <v>3805241890.71</v>
      </c>
      <c r="E13" s="1523">
        <f>((G13*H13)+(AB13*AC13)+(AE13*AF13)+(AH13*AI13))/D13</f>
        <v>4.2999999999999997E-2</v>
      </c>
      <c r="F13" s="1500"/>
      <c r="G13" s="1506">
        <f>J13+M13</f>
        <v>2487388357.3600001</v>
      </c>
      <c r="H13" s="1479">
        <f>((J13*K13)+(M13*N13))/G13</f>
        <v>4.3299999999999998E-2</v>
      </c>
      <c r="I13" s="1506">
        <f>((J13*L13)+(M13*O13))/G13</f>
        <v>4.28</v>
      </c>
      <c r="J13" s="1506">
        <v>437755095.89999998</v>
      </c>
      <c r="K13" s="1479">
        <v>3.2500000000000001E-2</v>
      </c>
      <c r="L13" s="1506">
        <v>0.14000000000000001</v>
      </c>
      <c r="M13" s="1506">
        <f>P13+S13+V13+Y13</f>
        <v>2049633261.46</v>
      </c>
      <c r="N13" s="1479">
        <f>((P13*Q13)+(S13*T13)+(V13*W13)+(Y13*Z13))/M13</f>
        <v>4.5600000000000002E-2</v>
      </c>
      <c r="O13" s="1506">
        <f>((P13*R13)+(S13*U13)+(V13*X13)+(Y13*AA13))/M13</f>
        <v>5.17</v>
      </c>
      <c r="P13" s="1506">
        <v>564231757.36000001</v>
      </c>
      <c r="Q13" s="1479">
        <v>4.6199999999999998E-2</v>
      </c>
      <c r="R13" s="1542">
        <v>6.92</v>
      </c>
      <c r="S13" s="1506">
        <v>1434753407.8699999</v>
      </c>
      <c r="T13" s="1479">
        <v>4.5499999999999999E-2</v>
      </c>
      <c r="U13" s="1506">
        <v>4.4000000000000004</v>
      </c>
      <c r="V13" s="1506">
        <v>46772375.689999998</v>
      </c>
      <c r="W13" s="1479">
        <v>4.3799999999999999E-2</v>
      </c>
      <c r="X13" s="1506">
        <v>7.59</v>
      </c>
      <c r="Y13" s="1506">
        <v>3875720.54</v>
      </c>
      <c r="Z13" s="1479">
        <v>3.8899999999999997E-2</v>
      </c>
      <c r="AA13" s="1506">
        <v>5.86</v>
      </c>
      <c r="AB13" s="1506">
        <v>50994044.32</v>
      </c>
      <c r="AC13" s="1479">
        <v>3.1099999999999999E-2</v>
      </c>
      <c r="AD13" s="1506">
        <v>1.5</v>
      </c>
      <c r="AE13" s="1506">
        <v>617566092.32000005</v>
      </c>
      <c r="AF13" s="1479">
        <v>3.5099999999999999E-2</v>
      </c>
      <c r="AG13" s="1506">
        <v>0.5</v>
      </c>
      <c r="AH13" s="1506">
        <f>+[7]ADMINISTRACIÓN!$I$11</f>
        <v>649293396.71000004</v>
      </c>
      <c r="AI13" s="1479">
        <v>5.04E-2</v>
      </c>
      <c r="AJ13" s="1506">
        <v>1.23</v>
      </c>
    </row>
    <row r="14" spans="2:36" s="1475" customFormat="1" ht="18" customHeight="1" x14ac:dyDescent="0.25">
      <c r="B14" s="1476" t="s">
        <v>744</v>
      </c>
      <c r="C14" s="1500"/>
      <c r="D14" s="1506">
        <f>G14+AB14+AE14+AH14</f>
        <v>2840862498.6599998</v>
      </c>
      <c r="E14" s="1523">
        <f>((G14*H14)+(AB14*AC14)+(AE14*AF14)+(AH14*AI14))/D14</f>
        <v>4.9500000000000002E-2</v>
      </c>
      <c r="F14" s="1500"/>
      <c r="G14" s="1506">
        <f>J14+M14</f>
        <v>2297190241.4699998</v>
      </c>
      <c r="H14" s="1479">
        <f>((J14*K14)+(M14*N14))/G14</f>
        <v>5.11E-2</v>
      </c>
      <c r="I14" s="1506">
        <f>((J14*L14)+(M14*O14))/G14</f>
        <v>6.68</v>
      </c>
      <c r="J14" s="1506">
        <v>75172432.819999993</v>
      </c>
      <c r="K14" s="1479">
        <v>4.9000000000000002E-2</v>
      </c>
      <c r="L14" s="1506">
        <v>6.18</v>
      </c>
      <c r="M14" s="1506">
        <f>P14+S14+V14+Y14</f>
        <v>2222017808.6500001</v>
      </c>
      <c r="N14" s="1479">
        <f>((P14*Q14)+(S14*T14)+(V14*W14)+(Y14*Z14))/M14</f>
        <v>5.1200000000000002E-2</v>
      </c>
      <c r="O14" s="1506">
        <f>((P14*R14)+(S14*U14)+(V14*X14)+(Y14*AA14))/M14</f>
        <v>6.7</v>
      </c>
      <c r="P14" s="1506">
        <v>953526345.09000003</v>
      </c>
      <c r="Q14" s="1479">
        <v>5.28E-2</v>
      </c>
      <c r="R14" s="1542">
        <v>6.05</v>
      </c>
      <c r="S14" s="1506">
        <v>1200716757.73</v>
      </c>
      <c r="T14" s="1479">
        <v>4.9700000000000001E-2</v>
      </c>
      <c r="U14" s="1506">
        <v>7.28</v>
      </c>
      <c r="V14" s="1506">
        <v>61246927.659999996</v>
      </c>
      <c r="W14" s="1479">
        <v>5.4100000000000002E-2</v>
      </c>
      <c r="X14" s="1506">
        <v>5.39</v>
      </c>
      <c r="Y14" s="1506">
        <v>6527778.1699999999</v>
      </c>
      <c r="Z14" s="1479">
        <v>5.3400000000000003E-2</v>
      </c>
      <c r="AA14" s="1506">
        <v>6.82</v>
      </c>
      <c r="AB14" s="1506">
        <v>30807909.469999999</v>
      </c>
      <c r="AC14" s="1479">
        <v>3.7600000000000001E-2</v>
      </c>
      <c r="AD14" s="1506">
        <v>0.45</v>
      </c>
      <c r="AE14" s="1506">
        <v>459309046.48000002</v>
      </c>
      <c r="AF14" s="1479">
        <v>4.1799999999999997E-2</v>
      </c>
      <c r="AG14" s="1506">
        <v>1.71</v>
      </c>
      <c r="AH14" s="1543">
        <v>53555301.240000002</v>
      </c>
      <c r="AI14" s="1480">
        <v>5.2600000000000001E-2</v>
      </c>
      <c r="AJ14" s="1506">
        <v>0.84</v>
      </c>
    </row>
    <row r="15" spans="2:36" s="151" customFormat="1" ht="6" customHeight="1" x14ac:dyDescent="0.25">
      <c r="B15" s="1476"/>
      <c r="C15" s="1511"/>
      <c r="D15" s="1504"/>
      <c r="E15" s="1507"/>
      <c r="F15" s="1511"/>
      <c r="G15" s="1506"/>
      <c r="H15" s="1479"/>
      <c r="I15" s="1479"/>
      <c r="J15" s="1506"/>
      <c r="K15" s="1479"/>
      <c r="L15" s="1479"/>
      <c r="M15" s="1506"/>
      <c r="N15" s="1479"/>
      <c r="O15" s="1479"/>
      <c r="P15" s="1479"/>
      <c r="Q15" s="1479"/>
      <c r="R15" s="1480"/>
      <c r="S15" s="1506"/>
      <c r="T15" s="1479"/>
      <c r="U15" s="1479"/>
      <c r="V15" s="1506"/>
      <c r="W15" s="1479"/>
      <c r="X15" s="1479"/>
      <c r="Y15" s="1506"/>
      <c r="Z15" s="1479"/>
      <c r="AA15" s="1479"/>
      <c r="AB15" s="1506"/>
      <c r="AC15" s="1479"/>
      <c r="AD15" s="1479"/>
      <c r="AE15" s="1506"/>
      <c r="AF15" s="1479"/>
      <c r="AG15" s="1479"/>
      <c r="AH15" s="1506"/>
      <c r="AI15" s="1479"/>
      <c r="AJ15" s="1479"/>
    </row>
    <row r="16" spans="2:36" s="147" customFormat="1" ht="18" customHeight="1" x14ac:dyDescent="0.25">
      <c r="B16" s="1502" t="s">
        <v>745</v>
      </c>
      <c r="C16" s="1500"/>
      <c r="D16" s="1544">
        <f>SUM(D17:D22)</f>
        <v>3552468690.1900001</v>
      </c>
      <c r="E16" s="1545">
        <f>((D17*E17)+(D18*E18)+(D19*E19)+(D20*E20)+(D21*E21)+(D22*E22))/D16</f>
        <v>4.7600000000000003E-2</v>
      </c>
      <c r="F16" s="1500"/>
      <c r="G16" s="1544">
        <f>SUM(G17:G22)</f>
        <v>3522811280.6900001</v>
      </c>
      <c r="H16" s="1546">
        <f>((G17*H17)+(G18*H18)+(G19*H19)+(G20*H20)+(G21*H21)+(G22*H22))/G16</f>
        <v>4.7399999999999998E-2</v>
      </c>
      <c r="I16" s="1547">
        <f>((G17*I17)+(G18*I18+G19*I19+G20*I20+G21*I21+G22*I22))/G16</f>
        <v>16.43</v>
      </c>
      <c r="J16" s="1544">
        <f>SUM(J17:J22)</f>
        <v>35929254.170000002</v>
      </c>
      <c r="K16" s="1546">
        <f>(($J$17*K17)+($J$18*K18)+($J$19*K19)+($J$20*K20)+($J$21*K21)+($J$22*K22))/$J16</f>
        <v>4.0099999999999997E-2</v>
      </c>
      <c r="L16" s="1548">
        <f>(($J$17*L17)+($J$18*L18)+($J$19*L19)+($J$20*L20)+($J$21*L21)+($J$22*L22))/$J16</f>
        <v>18.850000000000001</v>
      </c>
      <c r="M16" s="1544">
        <f>SUM(M17:M22)</f>
        <v>3486882026.52</v>
      </c>
      <c r="N16" s="1546">
        <f>((M17*N17)+(M18*N18)+(M19*N19)+(M20*N20)+(M21*N21)+(M22*N22))/M16</f>
        <v>4.7500000000000001E-2</v>
      </c>
      <c r="O16" s="1548">
        <f>(($M$17*O17)+($M$18*O18)+($M$19*O19)+($M$20*O20)+($M$21*O21)+($M$22*O22))/$M16</f>
        <v>16.41</v>
      </c>
      <c r="P16" s="1548">
        <f>SUM(P17:P22)</f>
        <v>1125743427.7</v>
      </c>
      <c r="Q16" s="1546">
        <f>((P17*Q17)+(P18*Q18)+(P19*Q19)+(P20*Q20)+(P21*Q21)+(P22*Q22))/P16</f>
        <v>4.9399999999999999E-2</v>
      </c>
      <c r="R16" s="1548">
        <f>(($P$17*R17)+($P$18*R18)+($P$19*R19)+($P$20*R20)+($P$21*R21)+($P$22*R22))/$P16</f>
        <v>17.73</v>
      </c>
      <c r="S16" s="1544">
        <f>SUM(S17:S22)</f>
        <v>2322973397.8600001</v>
      </c>
      <c r="T16" s="1546">
        <f>((S17*T17)+(S18*T18)+(S19*T19)+(S20*T20)+(S21*T21)+(S22*T22))/S16</f>
        <v>4.6800000000000001E-2</v>
      </c>
      <c r="U16" s="1548">
        <f>(($S$17*U17)+($S$18*U18)+($S$19*U19)+($S$20*U20)+($S$21*U21)+($S$22*U22))/$S16</f>
        <v>15.87</v>
      </c>
      <c r="V16" s="1544">
        <f>SUM(V17:V22)</f>
        <v>35428881.030000001</v>
      </c>
      <c r="W16" s="1546">
        <f>((V17*W17)+(V18*W18)+(V19*W19)+(V20*W20)+(V21*W21)+(V22*W22))/V16</f>
        <v>3.4799999999999998E-2</v>
      </c>
      <c r="X16" s="1548">
        <f>(($V$17*X17)+($V$18*X18)+($V$19*X19)+($V$20*X20)+($V$21*X21)+($V$22*X22))/$V16</f>
        <v>10.18</v>
      </c>
      <c r="Y16" s="1544">
        <f>SUM(Y17:Y22)</f>
        <v>2736319.93</v>
      </c>
      <c r="Z16" s="1546">
        <f>((Y17*Z17)+(Y18*Z18)+(Y19*Z19)+(Y20*Z20)+(Y21*Z21)+(Y22*Z22))/Y16</f>
        <v>3.5999999999999997E-2</v>
      </c>
      <c r="AA16" s="1548">
        <f>(($Y$17*AA17)+($Y$18*AA18)+($Y$19*AA19)+($Y$20*AA20)+($Y$21*AA21)+($Y$22*AA22))/$Y16</f>
        <v>10.87</v>
      </c>
      <c r="AB16" s="1544">
        <f>SUM(AB17:AB22)</f>
        <v>29657409.5</v>
      </c>
      <c r="AC16" s="1546">
        <f>(((AB17*AC17)+(AB18*AC18)+(AB19*AC19)+(AB20*AC20)+(AB21*AC21)+(AB22*AC22))/AB16)</f>
        <v>6.3700000000000007E-2</v>
      </c>
      <c r="AD16" s="1548">
        <f>(($AB$17*AD17)+($AB$18*AD18)+($AB$19*AD19)+($AB$20*AD20)+($AB$21*AD21)+($AB$22*AD22))/$AB16</f>
        <v>11.25</v>
      </c>
      <c r="AE16" s="1544">
        <f>SUM(AE17:AE22)</f>
        <v>0</v>
      </c>
      <c r="AF16" s="1546">
        <v>0</v>
      </c>
      <c r="AG16" s="1548">
        <v>0</v>
      </c>
      <c r="AH16" s="1544">
        <f>SUM(AH17:AH22)</f>
        <v>0</v>
      </c>
      <c r="AI16" s="1546">
        <v>0</v>
      </c>
      <c r="AJ16" s="1548">
        <v>0</v>
      </c>
    </row>
    <row r="17" spans="2:36" s="147" customFormat="1" ht="18" customHeight="1" x14ac:dyDescent="0.25">
      <c r="B17" s="1476" t="s">
        <v>746</v>
      </c>
      <c r="C17" s="1500"/>
      <c r="D17" s="1506">
        <f>G17+AB17+AE17+AH17</f>
        <v>26359200</v>
      </c>
      <c r="E17" s="1523">
        <f t="shared" ref="E17:E24" si="2">((G17*H17)+(AB17*AC17)+(AE17*AF17)+(AH17*AI17))/D17</f>
        <v>6.54E-2</v>
      </c>
      <c r="F17" s="1511"/>
      <c r="G17" s="1506">
        <f>J17+M17</f>
        <v>26359200</v>
      </c>
      <c r="H17" s="1479">
        <f>((J17*K17)+(M17*N17))/G17</f>
        <v>6.54E-2</v>
      </c>
      <c r="I17" s="1506">
        <f t="shared" ref="I17:I22" si="3">((J17*L17)+(M17*O17))/G17</f>
        <v>0.79</v>
      </c>
      <c r="J17" s="1506">
        <v>0</v>
      </c>
      <c r="K17" s="1479">
        <v>0</v>
      </c>
      <c r="L17" s="1506">
        <v>0</v>
      </c>
      <c r="M17" s="1506">
        <f t="shared" ref="M17:M22" si="4">P17+S17+V17+Y17</f>
        <v>26359200</v>
      </c>
      <c r="N17" s="1479">
        <f t="shared" ref="N17:N22" si="5">((P17*Q17)+(S17*T17)+(V17*W17)+(Y17*Z17))/M17</f>
        <v>6.54E-2</v>
      </c>
      <c r="O17" s="1506">
        <f>((P17*R17)+(S17*U17)+(V17*X17)+(Y17*AA17))/M17</f>
        <v>0.79</v>
      </c>
      <c r="P17" s="1506">
        <v>0</v>
      </c>
      <c r="Q17" s="1479">
        <v>0</v>
      </c>
      <c r="R17" s="1542">
        <v>0</v>
      </c>
      <c r="S17" s="1506">
        <v>26359200</v>
      </c>
      <c r="T17" s="1479">
        <v>6.54E-2</v>
      </c>
      <c r="U17" s="1506">
        <v>0.79</v>
      </c>
      <c r="V17" s="1506">
        <v>0</v>
      </c>
      <c r="W17" s="1479">
        <v>0</v>
      </c>
      <c r="X17" s="1506">
        <v>0</v>
      </c>
      <c r="Y17" s="1506">
        <v>0</v>
      </c>
      <c r="Z17" s="1479">
        <v>0</v>
      </c>
      <c r="AA17" s="1506">
        <v>0</v>
      </c>
      <c r="AB17" s="1506">
        <v>0</v>
      </c>
      <c r="AC17" s="1479">
        <v>0</v>
      </c>
      <c r="AD17" s="1506">
        <v>0</v>
      </c>
      <c r="AE17" s="1506">
        <v>0</v>
      </c>
      <c r="AF17" s="1479">
        <v>0</v>
      </c>
      <c r="AG17" s="1506">
        <v>0</v>
      </c>
      <c r="AH17" s="1506">
        <v>0</v>
      </c>
      <c r="AI17" s="1479">
        <v>0</v>
      </c>
      <c r="AJ17" s="1506">
        <v>0</v>
      </c>
    </row>
    <row r="18" spans="2:36" s="1475" customFormat="1" ht="18" customHeight="1" x14ac:dyDescent="0.25">
      <c r="B18" s="1476" t="s">
        <v>747</v>
      </c>
      <c r="C18" s="1477"/>
      <c r="D18" s="1506">
        <f t="shared" ref="D18:D24" si="6">G18+AB18+AE18+AH18</f>
        <v>1151219870</v>
      </c>
      <c r="E18" s="1523">
        <f t="shared" si="2"/>
        <v>4.1700000000000001E-2</v>
      </c>
      <c r="F18" s="1477"/>
      <c r="G18" s="1506">
        <f t="shared" ref="G18:G19" si="7">J18+M18</f>
        <v>1151219870</v>
      </c>
      <c r="H18" s="1479">
        <f>((J18*K18)+(M18*N18))/G18</f>
        <v>4.1700000000000001E-2</v>
      </c>
      <c r="I18" s="1506">
        <f t="shared" si="3"/>
        <v>7.85</v>
      </c>
      <c r="J18" s="1506">
        <v>0</v>
      </c>
      <c r="K18" s="1479">
        <v>0</v>
      </c>
      <c r="L18" s="1506">
        <v>0</v>
      </c>
      <c r="M18" s="1506">
        <f t="shared" si="4"/>
        <v>1151219870</v>
      </c>
      <c r="N18" s="1479">
        <f t="shared" si="5"/>
        <v>4.1700000000000001E-2</v>
      </c>
      <c r="O18" s="1506">
        <f t="shared" ref="O18:O24" si="8">((P18*R18)+(S18*U18)+(V18*X18)+(Y18*AA18))/M18</f>
        <v>7.85</v>
      </c>
      <c r="P18" s="1506">
        <v>382714589.25</v>
      </c>
      <c r="Q18" s="1479">
        <v>4.3900000000000002E-2</v>
      </c>
      <c r="R18" s="1542">
        <v>8.4</v>
      </c>
      <c r="S18" s="1506">
        <v>754511280.75</v>
      </c>
      <c r="T18" s="1479">
        <v>4.0800000000000003E-2</v>
      </c>
      <c r="U18" s="1506">
        <v>7.59</v>
      </c>
      <c r="V18" s="1506">
        <v>12386286.890000001</v>
      </c>
      <c r="W18" s="1479">
        <v>3.3599999999999998E-2</v>
      </c>
      <c r="X18" s="1506">
        <v>6.92</v>
      </c>
      <c r="Y18" s="1506">
        <v>1607713.11</v>
      </c>
      <c r="Z18" s="1479">
        <v>3.3599999999999998E-2</v>
      </c>
      <c r="AA18" s="1506">
        <v>6.92</v>
      </c>
      <c r="AB18" s="1506">
        <v>0</v>
      </c>
      <c r="AC18" s="1479">
        <v>0</v>
      </c>
      <c r="AD18" s="1506">
        <v>0</v>
      </c>
      <c r="AE18" s="1506">
        <v>0</v>
      </c>
      <c r="AF18" s="1479">
        <v>0</v>
      </c>
      <c r="AG18" s="1506">
        <v>0</v>
      </c>
      <c r="AH18" s="1506">
        <v>0</v>
      </c>
      <c r="AI18" s="1479">
        <v>0</v>
      </c>
      <c r="AJ18" s="1506">
        <v>0</v>
      </c>
    </row>
    <row r="19" spans="2:36" s="1475" customFormat="1" ht="18" customHeight="1" x14ac:dyDescent="0.25">
      <c r="B19" s="1476" t="s">
        <v>748</v>
      </c>
      <c r="C19" s="1477"/>
      <c r="D19" s="1506">
        <f t="shared" si="6"/>
        <v>119447893.59999999</v>
      </c>
      <c r="E19" s="1523">
        <f t="shared" si="2"/>
        <v>3.6799999999999999E-2</v>
      </c>
      <c r="F19" s="1477"/>
      <c r="G19" s="1506">
        <f t="shared" si="7"/>
        <v>119447893.59999999</v>
      </c>
      <c r="H19" s="1479">
        <f t="shared" ref="H19:H22" si="9">((J19*K19)+(M19*N19))/G19</f>
        <v>3.6799999999999999E-2</v>
      </c>
      <c r="I19" s="1506">
        <f t="shared" si="3"/>
        <v>1.81</v>
      </c>
      <c r="J19" s="1506">
        <v>0</v>
      </c>
      <c r="K19" s="1479">
        <v>0</v>
      </c>
      <c r="L19" s="1506">
        <v>0</v>
      </c>
      <c r="M19" s="1506">
        <f t="shared" si="4"/>
        <v>119447893.59999999</v>
      </c>
      <c r="N19" s="1479">
        <f t="shared" si="5"/>
        <v>3.6799999999999999E-2</v>
      </c>
      <c r="O19" s="1506">
        <f t="shared" si="8"/>
        <v>1.81</v>
      </c>
      <c r="P19" s="1506">
        <v>40071821.729999997</v>
      </c>
      <c r="Q19" s="1479">
        <v>3.7600000000000001E-2</v>
      </c>
      <c r="R19" s="1542">
        <v>1.71</v>
      </c>
      <c r="S19" s="1506">
        <v>69510549.359999999</v>
      </c>
      <c r="T19" s="1479">
        <v>3.7600000000000001E-2</v>
      </c>
      <c r="U19" s="1506">
        <v>1.71</v>
      </c>
      <c r="V19" s="1506">
        <v>9626529.6600000001</v>
      </c>
      <c r="W19" s="1479">
        <v>2.7900000000000001E-2</v>
      </c>
      <c r="X19" s="1506">
        <v>2.88</v>
      </c>
      <c r="Y19" s="1506">
        <v>238992.85</v>
      </c>
      <c r="Z19" s="1479">
        <v>2.81E-2</v>
      </c>
      <c r="AA19" s="1506">
        <v>2.85</v>
      </c>
      <c r="AB19" s="1506">
        <v>0</v>
      </c>
      <c r="AC19" s="1479">
        <v>0</v>
      </c>
      <c r="AD19" s="1506">
        <v>0</v>
      </c>
      <c r="AE19" s="1506">
        <v>0</v>
      </c>
      <c r="AF19" s="1479">
        <v>0</v>
      </c>
      <c r="AG19" s="1506">
        <v>0</v>
      </c>
      <c r="AH19" s="1506">
        <v>0</v>
      </c>
      <c r="AI19" s="1479">
        <v>0</v>
      </c>
      <c r="AJ19" s="1506">
        <v>0</v>
      </c>
    </row>
    <row r="20" spans="2:36" s="1475" customFormat="1" ht="18" customHeight="1" x14ac:dyDescent="0.25">
      <c r="B20" s="1476" t="s">
        <v>749</v>
      </c>
      <c r="C20" s="1477"/>
      <c r="D20" s="1506">
        <f t="shared" si="6"/>
        <v>1849705726.5899999</v>
      </c>
      <c r="E20" s="1523">
        <f t="shared" si="2"/>
        <v>5.4899999999999997E-2</v>
      </c>
      <c r="F20" s="1477"/>
      <c r="G20" s="1506">
        <f>J20+M20</f>
        <v>1820048317.0899999</v>
      </c>
      <c r="H20" s="1479">
        <f t="shared" si="9"/>
        <v>5.4800000000000001E-2</v>
      </c>
      <c r="I20" s="1506">
        <f t="shared" si="3"/>
        <v>25.34</v>
      </c>
      <c r="J20" s="1506">
        <v>23974008.25</v>
      </c>
      <c r="K20" s="1479">
        <f>Hoja9!I15</f>
        <v>4.5199999999999997E-2</v>
      </c>
      <c r="L20" s="1508">
        <v>25.71</v>
      </c>
      <c r="M20" s="1506">
        <f>P20+S20+V20+Y20</f>
        <v>1796074308.8399999</v>
      </c>
      <c r="N20" s="1479">
        <f t="shared" si="5"/>
        <v>5.4899999999999997E-2</v>
      </c>
      <c r="O20" s="1506">
        <f t="shared" si="8"/>
        <v>25.34</v>
      </c>
      <c r="P20" s="1508">
        <v>577494161.02999997</v>
      </c>
      <c r="Q20" s="1479">
        <v>5.7299999999999997E-2</v>
      </c>
      <c r="R20" s="1549">
        <v>27.41</v>
      </c>
      <c r="S20" s="1506">
        <v>1208217747.45</v>
      </c>
      <c r="T20" s="1479">
        <v>5.3900000000000003E-2</v>
      </c>
      <c r="U20" s="1508">
        <v>24.37</v>
      </c>
      <c r="V20" s="1506">
        <v>9648187.2400000002</v>
      </c>
      <c r="W20" s="1479">
        <v>4.5100000000000001E-2</v>
      </c>
      <c r="X20" s="1508">
        <v>23.62</v>
      </c>
      <c r="Y20" s="1506">
        <v>714213.12</v>
      </c>
      <c r="Z20" s="1479">
        <v>4.5499999999999999E-2</v>
      </c>
      <c r="AA20" s="1508">
        <v>23.88</v>
      </c>
      <c r="AB20" s="1506">
        <v>29657409.5</v>
      </c>
      <c r="AC20" s="1479">
        <v>6.3700000000000007E-2</v>
      </c>
      <c r="AD20" s="1508">
        <v>11.25</v>
      </c>
      <c r="AE20" s="1506">
        <v>0</v>
      </c>
      <c r="AF20" s="1479">
        <v>0</v>
      </c>
      <c r="AG20" s="1508">
        <v>0</v>
      </c>
      <c r="AH20" s="1506">
        <v>0</v>
      </c>
      <c r="AI20" s="1479">
        <v>0</v>
      </c>
      <c r="AJ20" s="1508">
        <v>0</v>
      </c>
    </row>
    <row r="21" spans="2:36" s="1475" customFormat="1" ht="18" customHeight="1" x14ac:dyDescent="0.25">
      <c r="B21" s="1476" t="s">
        <v>750</v>
      </c>
      <c r="C21" s="1477"/>
      <c r="D21" s="1506">
        <f t="shared" si="6"/>
        <v>205736000</v>
      </c>
      <c r="E21" s="1523">
        <f t="shared" si="2"/>
        <v>0.03</v>
      </c>
      <c r="F21" s="1477"/>
      <c r="G21" s="1506">
        <f t="shared" ref="G21:G22" si="10">J21+M21</f>
        <v>205736000</v>
      </c>
      <c r="H21" s="1479">
        <f t="shared" si="9"/>
        <v>0.03</v>
      </c>
      <c r="I21" s="1506">
        <f t="shared" si="3"/>
        <v>5.39</v>
      </c>
      <c r="J21" s="1506">
        <v>11955245.92</v>
      </c>
      <c r="K21" s="1479">
        <v>0.03</v>
      </c>
      <c r="L21" s="1508">
        <v>5.09</v>
      </c>
      <c r="M21" s="1506">
        <f t="shared" si="4"/>
        <v>193780754.08000001</v>
      </c>
      <c r="N21" s="1479">
        <f t="shared" si="5"/>
        <v>0.03</v>
      </c>
      <c r="O21" s="1506">
        <f t="shared" si="8"/>
        <v>5.41</v>
      </c>
      <c r="P21" s="1508">
        <f>Hoja10!F94</f>
        <v>43962855.689999998</v>
      </c>
      <c r="Q21" s="1479">
        <f>Hoja10!I94</f>
        <v>0.03</v>
      </c>
      <c r="R21" s="1549">
        <v>6.52</v>
      </c>
      <c r="S21" s="1506">
        <f>Hoja10!F219</f>
        <v>145874620.30000001</v>
      </c>
      <c r="T21" s="1479">
        <v>0.03</v>
      </c>
      <c r="U21" s="1508">
        <v>5.09</v>
      </c>
      <c r="V21" s="1506">
        <v>3767877.24</v>
      </c>
      <c r="W21" s="1479">
        <v>0.03</v>
      </c>
      <c r="X21" s="1508">
        <v>5.09</v>
      </c>
      <c r="Y21" s="1506">
        <v>175400.85</v>
      </c>
      <c r="Z21" s="1479">
        <v>0.03</v>
      </c>
      <c r="AA21" s="1508">
        <v>5.09</v>
      </c>
      <c r="AB21" s="1506">
        <v>0</v>
      </c>
      <c r="AC21" s="1479">
        <v>0</v>
      </c>
      <c r="AD21" s="1508">
        <v>0</v>
      </c>
      <c r="AE21" s="1506">
        <v>0</v>
      </c>
      <c r="AF21" s="1479">
        <v>0</v>
      </c>
      <c r="AG21" s="1508">
        <v>0</v>
      </c>
      <c r="AH21" s="1506">
        <v>0</v>
      </c>
      <c r="AI21" s="1479">
        <v>0</v>
      </c>
      <c r="AJ21" s="1508">
        <v>0</v>
      </c>
    </row>
    <row r="22" spans="2:36" s="1475" customFormat="1" ht="18" customHeight="1" x14ac:dyDescent="0.25">
      <c r="B22" s="1476" t="s">
        <v>751</v>
      </c>
      <c r="C22" s="1477"/>
      <c r="D22" s="1506">
        <f t="shared" si="6"/>
        <v>200000000</v>
      </c>
      <c r="E22" s="1523">
        <f t="shared" si="2"/>
        <v>3.5499999999999997E-2</v>
      </c>
      <c r="F22" s="1477"/>
      <c r="G22" s="1506">
        <f t="shared" si="10"/>
        <v>200000000</v>
      </c>
      <c r="H22" s="1479">
        <f t="shared" si="9"/>
        <v>3.5499999999999997E-2</v>
      </c>
      <c r="I22" s="1506">
        <f t="shared" si="3"/>
        <v>6.89</v>
      </c>
      <c r="J22" s="1506">
        <v>0</v>
      </c>
      <c r="K22" s="1479">
        <v>0</v>
      </c>
      <c r="L22" s="1506">
        <v>0</v>
      </c>
      <c r="M22" s="1506">
        <f t="shared" si="4"/>
        <v>200000000</v>
      </c>
      <c r="N22" s="1479">
        <f t="shared" si="5"/>
        <v>3.5499999999999997E-2</v>
      </c>
      <c r="O22" s="1506">
        <f t="shared" si="8"/>
        <v>6.89</v>
      </c>
      <c r="P22" s="1506">
        <f>Hoja10!F95+Hoja10!F96</f>
        <v>81500000</v>
      </c>
      <c r="Q22" s="1479">
        <f>Hoja10!I97</f>
        <v>3.5499999999999997E-2</v>
      </c>
      <c r="R22" s="1542">
        <v>6.9</v>
      </c>
      <c r="S22" s="1506">
        <f>SUM(Hoja10!F220:F223)</f>
        <v>118500000</v>
      </c>
      <c r="T22" s="1479">
        <f>Hoja10!I224</f>
        <v>3.5499999999999997E-2</v>
      </c>
      <c r="U22" s="1506">
        <v>6.88</v>
      </c>
      <c r="V22" s="1506">
        <v>0</v>
      </c>
      <c r="W22" s="1479">
        <v>0</v>
      </c>
      <c r="X22" s="1506">
        <v>0</v>
      </c>
      <c r="Y22" s="1506">
        <v>0</v>
      </c>
      <c r="Z22" s="1479">
        <v>0</v>
      </c>
      <c r="AA22" s="1506">
        <v>0</v>
      </c>
      <c r="AB22" s="1506">
        <v>0</v>
      </c>
      <c r="AC22" s="1479">
        <v>0</v>
      </c>
      <c r="AD22" s="1506">
        <v>0</v>
      </c>
      <c r="AE22" s="1506">
        <v>0</v>
      </c>
      <c r="AF22" s="1479">
        <v>0</v>
      </c>
      <c r="AG22" s="1506">
        <v>0</v>
      </c>
      <c r="AH22" s="1506">
        <v>0</v>
      </c>
      <c r="AI22" s="1479">
        <v>0</v>
      </c>
      <c r="AJ22" s="1506">
        <v>0</v>
      </c>
    </row>
    <row r="23" spans="2:36" s="1475" customFormat="1" ht="6" customHeight="1" x14ac:dyDescent="0.25">
      <c r="B23" s="1504"/>
      <c r="C23" s="1477"/>
      <c r="D23" s="1504"/>
      <c r="E23" s="1505"/>
      <c r="F23" s="1477"/>
      <c r="G23" s="1506"/>
      <c r="H23" s="1479"/>
      <c r="I23" s="1479"/>
      <c r="J23" s="1506"/>
      <c r="K23" s="1479"/>
      <c r="L23" s="1479"/>
      <c r="M23" s="1506"/>
      <c r="N23" s="1479"/>
      <c r="O23" s="1479"/>
      <c r="P23" s="1479"/>
      <c r="Q23" s="1479"/>
      <c r="R23" s="1480"/>
      <c r="S23" s="1506"/>
      <c r="T23" s="1479"/>
      <c r="U23" s="1479"/>
      <c r="V23" s="1506"/>
      <c r="W23" s="1479"/>
      <c r="X23" s="1479"/>
      <c r="Y23" s="1506"/>
      <c r="Z23" s="1479"/>
      <c r="AA23" s="1479"/>
      <c r="AB23" s="1506"/>
      <c r="AC23" s="1479"/>
      <c r="AD23" s="1479"/>
      <c r="AE23" s="1506"/>
      <c r="AF23" s="1479"/>
      <c r="AG23" s="1479"/>
      <c r="AH23" s="1506"/>
      <c r="AI23" s="1479"/>
      <c r="AJ23" s="1479"/>
    </row>
    <row r="24" spans="2:36" s="1475" customFormat="1" ht="18" customHeight="1" x14ac:dyDescent="0.25">
      <c r="B24" s="1502" t="s">
        <v>752</v>
      </c>
      <c r="C24" s="1477"/>
      <c r="D24" s="1544">
        <f t="shared" si="6"/>
        <v>516635131.04000002</v>
      </c>
      <c r="E24" s="1545">
        <f t="shared" si="2"/>
        <v>5.0799999999999998E-2</v>
      </c>
      <c r="F24" s="1500"/>
      <c r="G24" s="1544">
        <f>J24+M24</f>
        <v>483015574.93000001</v>
      </c>
      <c r="H24" s="1546">
        <f>((J24*K24)+(M24*N24))/G24</f>
        <v>5.0099999999999999E-2</v>
      </c>
      <c r="I24" s="1544">
        <f>((J24*L24)+(M24*O24))/G24</f>
        <v>3.54</v>
      </c>
      <c r="J24" s="1544">
        <v>0</v>
      </c>
      <c r="K24" s="1546">
        <v>0</v>
      </c>
      <c r="L24" s="1544">
        <v>0</v>
      </c>
      <c r="M24" s="1544">
        <f>P24+S24+V24+Y24</f>
        <v>483015574.93000001</v>
      </c>
      <c r="N24" s="1546">
        <f>((P24*Q24)+(S24*T24)+(V24*W24)+(Y24*Z24))/M24</f>
        <v>5.0099999999999999E-2</v>
      </c>
      <c r="O24" s="1544">
        <f t="shared" si="8"/>
        <v>3.54</v>
      </c>
      <c r="P24" s="1544">
        <f>63000000+63000000+31500000+212.35</f>
        <v>157500212.34999999</v>
      </c>
      <c r="Q24" s="1546">
        <v>4.7600000000000003E-2</v>
      </c>
      <c r="R24" s="1550">
        <v>3.8</v>
      </c>
      <c r="S24" s="1544">
        <v>270858715.13</v>
      </c>
      <c r="T24" s="1546">
        <v>4.8899999999999999E-2</v>
      </c>
      <c r="U24" s="1544">
        <v>3.78</v>
      </c>
      <c r="V24" s="1544">
        <v>54263732.130000003</v>
      </c>
      <c r="W24" s="1546">
        <v>6.3600000000000004E-2</v>
      </c>
      <c r="X24" s="1544">
        <v>1.61</v>
      </c>
      <c r="Y24" s="1544">
        <v>392915.32</v>
      </c>
      <c r="Z24" s="1546">
        <v>5.6000000000000001E-2</v>
      </c>
      <c r="AA24" s="1544">
        <v>1</v>
      </c>
      <c r="AB24" s="1544">
        <v>0</v>
      </c>
      <c r="AC24" s="1546">
        <v>0</v>
      </c>
      <c r="AD24" s="1544">
        <v>0</v>
      </c>
      <c r="AE24" s="1544">
        <v>1923539.11</v>
      </c>
      <c r="AF24" s="1546">
        <v>0.06</v>
      </c>
      <c r="AG24" s="1544">
        <v>1</v>
      </c>
      <c r="AH24" s="1544">
        <v>31696017</v>
      </c>
      <c r="AI24" s="1546">
        <v>6.0999999999999999E-2</v>
      </c>
      <c r="AJ24" s="1544">
        <v>1.53</v>
      </c>
    </row>
    <row r="25" spans="2:36" s="151" customFormat="1" ht="6" customHeight="1" x14ac:dyDescent="0.25">
      <c r="B25" s="1476"/>
      <c r="C25" s="1511"/>
      <c r="D25" s="1504"/>
      <c r="E25" s="1507"/>
      <c r="F25" s="1477"/>
      <c r="G25" s="1506"/>
      <c r="H25" s="1479"/>
      <c r="I25" s="1479"/>
      <c r="J25" s="1506"/>
      <c r="K25" s="1479"/>
      <c r="L25" s="1479"/>
      <c r="M25" s="1506"/>
      <c r="N25" s="1479"/>
      <c r="O25" s="1479"/>
      <c r="P25" s="1479"/>
      <c r="Q25" s="1479"/>
      <c r="R25" s="1480"/>
      <c r="S25" s="1506"/>
      <c r="T25" s="1479"/>
      <c r="U25" s="1479"/>
      <c r="V25" s="1508"/>
      <c r="W25" s="1479"/>
      <c r="X25" s="1479"/>
      <c r="Y25" s="1506"/>
      <c r="Z25" s="1479"/>
      <c r="AA25" s="1479"/>
      <c r="AB25" s="1506"/>
      <c r="AC25" s="1479"/>
      <c r="AD25" s="1479"/>
      <c r="AE25" s="1506"/>
      <c r="AF25" s="1479"/>
      <c r="AG25" s="1479"/>
      <c r="AH25" s="1506"/>
      <c r="AI25" s="1479"/>
      <c r="AJ25" s="1479"/>
    </row>
    <row r="26" spans="2:36" s="147" customFormat="1" ht="18" customHeight="1" x14ac:dyDescent="0.25">
      <c r="B26" s="1502" t="s">
        <v>753</v>
      </c>
      <c r="C26" s="1505"/>
      <c r="D26" s="1544">
        <f>SUM(D27:D31)</f>
        <v>144371000</v>
      </c>
      <c r="E26" s="1545">
        <f>+(D27*E27+D28*E28+D29*E29+D30*E30+D31*E31)/D26</f>
        <v>5.5100000000000003E-2</v>
      </c>
      <c r="F26" s="1511"/>
      <c r="G26" s="1544">
        <f>SUM(G27:G31)</f>
        <v>94371000</v>
      </c>
      <c r="H26" s="1546">
        <f>+(G27*H27+G28*H28+G29*H29+G30*H30+G31*H31)/G26</f>
        <v>5.4100000000000002E-2</v>
      </c>
      <c r="I26" s="1547">
        <f>((G27*I27)+(G28*I28+G29*I29+G30*I30+G31*I31))/G26</f>
        <v>3.31</v>
      </c>
      <c r="J26" s="1544">
        <f>SUM(J27:J31)</f>
        <v>0</v>
      </c>
      <c r="K26" s="1546">
        <f>SUM(K27:K31)</f>
        <v>0</v>
      </c>
      <c r="L26" s="1544">
        <f>SUM(L27:L31)</f>
        <v>0</v>
      </c>
      <c r="M26" s="1544">
        <f>SUM(M27:M31)</f>
        <v>94371000</v>
      </c>
      <c r="N26" s="1546">
        <f>+(M27*N27+M28*N28+M29*N29+M30*N30+M31*N31)/M26</f>
        <v>5.4100000000000002E-2</v>
      </c>
      <c r="O26" s="1548">
        <f>(($M$27*O27)+($M$28*O28)+($M$29*O29)+($M$30*O30)+($M$31*O31))/$M26</f>
        <v>3.31</v>
      </c>
      <c r="P26" s="1544">
        <f>SUM(P27:P31)</f>
        <v>37505548.609999999</v>
      </c>
      <c r="Q26" s="1546">
        <f>+(P27*Q27+P28*Q28+P29*Q29+P31*Q31)/P26</f>
        <v>4.7300000000000002E-2</v>
      </c>
      <c r="R26" s="1548">
        <f>+(P27*R27+P28*R28+P29*R29+P30*R30+P31*R31)/P26</f>
        <v>2.41</v>
      </c>
      <c r="S26" s="1544">
        <f>SUM(S27:S31)</f>
        <v>56865451.390000001</v>
      </c>
      <c r="T26" s="1546">
        <f>+(S27*T27+S28*T28+S29*T29+S30*T30+S31*T31)/S26</f>
        <v>5.8599999999999999E-2</v>
      </c>
      <c r="U26" s="1548">
        <f>+(S27*U27+S28*U28+S29*U29+S30*U30+S31*U31)/S26</f>
        <v>3.91</v>
      </c>
      <c r="V26" s="1548">
        <v>0</v>
      </c>
      <c r="W26" s="1546">
        <v>0</v>
      </c>
      <c r="X26" s="1548">
        <v>0</v>
      </c>
      <c r="Y26" s="1544">
        <v>0</v>
      </c>
      <c r="Z26" s="1546">
        <v>0</v>
      </c>
      <c r="AA26" s="1544">
        <v>0</v>
      </c>
      <c r="AB26" s="1544">
        <f t="shared" ref="AB26:AI26" si="11">SUM(AB27:AB31)</f>
        <v>0</v>
      </c>
      <c r="AC26" s="1546">
        <f t="shared" si="11"/>
        <v>0</v>
      </c>
      <c r="AD26" s="1544">
        <v>0</v>
      </c>
      <c r="AE26" s="1544">
        <f t="shared" si="11"/>
        <v>50000000</v>
      </c>
      <c r="AF26" s="1546">
        <f>((AE27*AF27)+(AE29*AF29))/AE26</f>
        <v>5.7000000000000002E-2</v>
      </c>
      <c r="AG26" s="1548">
        <f>+(AE27*AG27+AE28*AG28+AE29*AG29+AE30*AG30+AE31*AG31)/AE26</f>
        <v>0.88</v>
      </c>
      <c r="AH26" s="1544">
        <f t="shared" si="11"/>
        <v>0</v>
      </c>
      <c r="AI26" s="1546">
        <f t="shared" si="11"/>
        <v>0</v>
      </c>
      <c r="AJ26" s="1544">
        <v>0</v>
      </c>
    </row>
    <row r="27" spans="2:36" s="147" customFormat="1" ht="18" customHeight="1" x14ac:dyDescent="0.25">
      <c r="B27" s="1476" t="s">
        <v>754</v>
      </c>
      <c r="C27" s="1505"/>
      <c r="D27" s="1506">
        <f t="shared" ref="D27:D33" si="12">G27+AB27+AE27+AH27</f>
        <v>20000000</v>
      </c>
      <c r="E27" s="1523">
        <f t="shared" ref="E27:E31" si="13">((G27*H27)+(AB27*AC27)+(AE27*AF27)+(AH27*AI27))/D27</f>
        <v>0.06</v>
      </c>
      <c r="F27" s="1511"/>
      <c r="G27" s="1506">
        <f>J27+M27</f>
        <v>0</v>
      </c>
      <c r="H27" s="1479">
        <v>0</v>
      </c>
      <c r="I27" s="1506">
        <v>0</v>
      </c>
      <c r="J27" s="1506">
        <v>0</v>
      </c>
      <c r="K27" s="1479">
        <v>0</v>
      </c>
      <c r="L27" s="1506">
        <v>0</v>
      </c>
      <c r="M27" s="1506">
        <f>P27+S27+V27+Y27</f>
        <v>0</v>
      </c>
      <c r="N27" s="1479">
        <v>0</v>
      </c>
      <c r="O27" s="1506">
        <v>0</v>
      </c>
      <c r="P27" s="1506">
        <v>0</v>
      </c>
      <c r="Q27" s="1479">
        <v>0</v>
      </c>
      <c r="R27" s="1542">
        <v>0</v>
      </c>
      <c r="S27" s="1506">
        <v>0</v>
      </c>
      <c r="T27" s="1479">
        <v>0</v>
      </c>
      <c r="U27" s="1506">
        <v>0</v>
      </c>
      <c r="V27" s="1508">
        <v>0</v>
      </c>
      <c r="W27" s="1479">
        <v>0</v>
      </c>
      <c r="X27" s="1506">
        <v>0</v>
      </c>
      <c r="Y27" s="1506">
        <v>0</v>
      </c>
      <c r="Z27" s="1479">
        <v>0</v>
      </c>
      <c r="AA27" s="1506">
        <v>0</v>
      </c>
      <c r="AB27" s="1506">
        <v>0</v>
      </c>
      <c r="AC27" s="1479">
        <v>0</v>
      </c>
      <c r="AD27" s="1506">
        <v>0</v>
      </c>
      <c r="AE27" s="1506">
        <v>20000000</v>
      </c>
      <c r="AF27" s="1479">
        <v>0.06</v>
      </c>
      <c r="AG27" s="1506">
        <v>1.1000000000000001</v>
      </c>
      <c r="AH27" s="1506">
        <v>0</v>
      </c>
      <c r="AI27" s="1479">
        <v>0</v>
      </c>
      <c r="AJ27" s="1506">
        <v>0</v>
      </c>
    </row>
    <row r="28" spans="2:36" s="147" customFormat="1" ht="18" customHeight="1" x14ac:dyDescent="0.25">
      <c r="B28" s="1476" t="s">
        <v>756</v>
      </c>
      <c r="C28" s="1505"/>
      <c r="D28" s="1506">
        <f t="shared" si="12"/>
        <v>34371000</v>
      </c>
      <c r="E28" s="1523">
        <f t="shared" si="13"/>
        <v>4.4699999999999997E-2</v>
      </c>
      <c r="F28" s="1500"/>
      <c r="G28" s="1551">
        <f>J28+M28</f>
        <v>34371000</v>
      </c>
      <c r="H28" s="1552">
        <f>((J28*K28)+(M28*N28))/G28</f>
        <v>4.4699999999999997E-2</v>
      </c>
      <c r="I28" s="1506">
        <f t="shared" ref="I28:I33" si="14">((J28*L28)+(M28*O28))/G28</f>
        <v>4.2300000000000004</v>
      </c>
      <c r="J28" s="1506">
        <v>0</v>
      </c>
      <c r="K28" s="1479">
        <v>0</v>
      </c>
      <c r="L28" s="1506">
        <v>0</v>
      </c>
      <c r="M28" s="1506">
        <f>P28+S28+V28+Y28</f>
        <v>34371000</v>
      </c>
      <c r="N28" s="1479">
        <f>((P28*Q28)+(S28*T28)+(V28*W28)+(Y28*Z28))/M28</f>
        <v>4.4699999999999997E-2</v>
      </c>
      <c r="O28" s="1506">
        <f t="shared" ref="O28:O33" si="15">((P28*R28)+(S28*U28)+(V28*X28)+(Y28*AA28))/M28</f>
        <v>4.2300000000000004</v>
      </c>
      <c r="P28" s="1506">
        <f>Hoja10!F97</f>
        <v>26407020</v>
      </c>
      <c r="Q28" s="1479">
        <f>Hoja10!I100</f>
        <v>4.19E-2</v>
      </c>
      <c r="R28" s="1542">
        <v>3.11</v>
      </c>
      <c r="S28" s="1506">
        <f>Hoja10!F225</f>
        <v>7963980</v>
      </c>
      <c r="T28" s="1479">
        <v>5.3999999999999999E-2</v>
      </c>
      <c r="U28" s="1506">
        <v>7.96</v>
      </c>
      <c r="V28" s="1508">
        <v>0</v>
      </c>
      <c r="W28" s="1479">
        <v>0</v>
      </c>
      <c r="X28" s="1506">
        <v>0</v>
      </c>
      <c r="Y28" s="1506">
        <v>0</v>
      </c>
      <c r="Z28" s="1479">
        <v>0</v>
      </c>
      <c r="AA28" s="1506">
        <v>0</v>
      </c>
      <c r="AB28" s="1506">
        <v>0</v>
      </c>
      <c r="AC28" s="1479">
        <v>0</v>
      </c>
      <c r="AD28" s="1506">
        <v>0</v>
      </c>
      <c r="AE28" s="1506">
        <v>0</v>
      </c>
      <c r="AF28" s="1479">
        <v>0</v>
      </c>
      <c r="AG28" s="1506">
        <v>0</v>
      </c>
      <c r="AH28" s="1506">
        <v>0</v>
      </c>
      <c r="AI28" s="1479">
        <v>0</v>
      </c>
      <c r="AJ28" s="1506">
        <v>0</v>
      </c>
    </row>
    <row r="29" spans="2:36" s="147" customFormat="1" ht="18" customHeight="1" x14ac:dyDescent="0.25">
      <c r="B29" s="1476" t="s">
        <v>757</v>
      </c>
      <c r="C29" s="1505"/>
      <c r="D29" s="1506">
        <f t="shared" si="12"/>
        <v>30000000</v>
      </c>
      <c r="E29" s="1523">
        <f t="shared" si="13"/>
        <v>5.5E-2</v>
      </c>
      <c r="F29" s="1500"/>
      <c r="G29" s="1551">
        <f>J29+M29</f>
        <v>0</v>
      </c>
      <c r="H29" s="1479">
        <v>0</v>
      </c>
      <c r="I29" s="1506">
        <v>0</v>
      </c>
      <c r="J29" s="1506">
        <v>0</v>
      </c>
      <c r="K29" s="1479">
        <v>0</v>
      </c>
      <c r="L29" s="1506">
        <v>0</v>
      </c>
      <c r="M29" s="1506">
        <f>P29+S29+V29+Y29</f>
        <v>0</v>
      </c>
      <c r="N29" s="1479">
        <v>0</v>
      </c>
      <c r="O29" s="1506">
        <v>0</v>
      </c>
      <c r="P29" s="1506">
        <v>0</v>
      </c>
      <c r="Q29" s="1479">
        <v>0</v>
      </c>
      <c r="R29" s="1542">
        <v>0</v>
      </c>
      <c r="S29" s="1506">
        <v>0</v>
      </c>
      <c r="T29" s="1479">
        <v>0</v>
      </c>
      <c r="U29" s="1506">
        <v>0</v>
      </c>
      <c r="V29" s="1508">
        <v>0</v>
      </c>
      <c r="W29" s="1479">
        <v>0</v>
      </c>
      <c r="X29" s="1506">
        <v>0</v>
      </c>
      <c r="Y29" s="1506">
        <v>0</v>
      </c>
      <c r="Z29" s="1479">
        <v>0</v>
      </c>
      <c r="AA29" s="1506">
        <v>0</v>
      </c>
      <c r="AB29" s="1506">
        <v>0</v>
      </c>
      <c r="AC29" s="1479">
        <v>0</v>
      </c>
      <c r="AD29" s="1506">
        <v>0</v>
      </c>
      <c r="AE29" s="1506">
        <v>30000000</v>
      </c>
      <c r="AF29" s="1479">
        <v>5.5E-2</v>
      </c>
      <c r="AG29" s="1506">
        <v>0.74</v>
      </c>
      <c r="AH29" s="1506">
        <v>0</v>
      </c>
      <c r="AI29" s="1479">
        <v>0</v>
      </c>
      <c r="AJ29" s="1506">
        <v>0</v>
      </c>
    </row>
    <row r="30" spans="2:36" s="147" customFormat="1" ht="18" customHeight="1" x14ac:dyDescent="0.25">
      <c r="B30" s="1476" t="s">
        <v>757</v>
      </c>
      <c r="C30" s="1505"/>
      <c r="D30" s="1506">
        <f t="shared" si="12"/>
        <v>30000000</v>
      </c>
      <c r="E30" s="1523">
        <f t="shared" si="13"/>
        <v>5.8999999999999997E-2</v>
      </c>
      <c r="F30" s="1500"/>
      <c r="G30" s="1551">
        <f>J30+M30</f>
        <v>30000000</v>
      </c>
      <c r="H30" s="1552">
        <f>((J30*K30)+(M30*N30))/G30</f>
        <v>5.8999999999999997E-2</v>
      </c>
      <c r="I30" s="1506">
        <f t="shared" si="14"/>
        <v>4.82</v>
      </c>
      <c r="J30" s="1506">
        <v>0</v>
      </c>
      <c r="K30" s="1479">
        <v>0</v>
      </c>
      <c r="L30" s="1506">
        <v>0</v>
      </c>
      <c r="M30" s="1506">
        <f>P30+S30+V30+Y30</f>
        <v>30000000</v>
      </c>
      <c r="N30" s="1479">
        <f>((P30*Q30)+(S30*T30)+(V30*W30)+(Y30*Z30))/M30</f>
        <v>5.8999999999999997E-2</v>
      </c>
      <c r="O30" s="1506">
        <f t="shared" si="15"/>
        <v>4.82</v>
      </c>
      <c r="P30" s="1506">
        <v>0</v>
      </c>
      <c r="Q30" s="1479">
        <v>0</v>
      </c>
      <c r="R30" s="1542">
        <v>0</v>
      </c>
      <c r="S30" s="1506">
        <v>30000000</v>
      </c>
      <c r="T30" s="1479">
        <v>5.8999999999999997E-2</v>
      </c>
      <c r="U30" s="1506">
        <v>4.82</v>
      </c>
      <c r="V30" s="1508">
        <v>0</v>
      </c>
      <c r="W30" s="1479">
        <v>0</v>
      </c>
      <c r="X30" s="1506">
        <v>0</v>
      </c>
      <c r="Y30" s="1506">
        <v>0</v>
      </c>
      <c r="Z30" s="1479">
        <v>0</v>
      </c>
      <c r="AA30" s="1506">
        <v>0</v>
      </c>
      <c r="AB30" s="1506">
        <v>0</v>
      </c>
      <c r="AC30" s="1479">
        <v>0</v>
      </c>
      <c r="AD30" s="1506">
        <v>0</v>
      </c>
      <c r="AE30" s="1506">
        <v>0</v>
      </c>
      <c r="AF30" s="1479">
        <v>0</v>
      </c>
      <c r="AG30" s="1506">
        <v>0</v>
      </c>
      <c r="AH30" s="1506">
        <v>0</v>
      </c>
      <c r="AI30" s="1479">
        <v>0</v>
      </c>
      <c r="AJ30" s="1506">
        <v>0</v>
      </c>
    </row>
    <row r="31" spans="2:36" s="147" customFormat="1" ht="18" customHeight="1" x14ac:dyDescent="0.25">
      <c r="B31" s="1476" t="s">
        <v>758</v>
      </c>
      <c r="C31" s="1505"/>
      <c r="D31" s="1506">
        <f t="shared" si="12"/>
        <v>30000000</v>
      </c>
      <c r="E31" s="1523">
        <f t="shared" si="13"/>
        <v>0.06</v>
      </c>
      <c r="F31" s="1511"/>
      <c r="G31" s="1551">
        <f>J31+M31</f>
        <v>30000000</v>
      </c>
      <c r="H31" s="1552">
        <f>((J31*K31)+(M31*N31))/G31</f>
        <v>0.06</v>
      </c>
      <c r="I31" s="1506">
        <f t="shared" si="14"/>
        <v>0.76</v>
      </c>
      <c r="J31" s="1506">
        <v>0</v>
      </c>
      <c r="K31" s="1479">
        <v>0</v>
      </c>
      <c r="L31" s="1506">
        <v>0</v>
      </c>
      <c r="M31" s="1506">
        <f>P31+S31+V31+Y31</f>
        <v>30000000</v>
      </c>
      <c r="N31" s="1479">
        <f>((P31*Q31)+(S31*T31)+(V31*W31)+(Y31*Z31))/M31</f>
        <v>0.06</v>
      </c>
      <c r="O31" s="1506">
        <f t="shared" si="15"/>
        <v>0.76</v>
      </c>
      <c r="P31" s="1506">
        <v>11098528.609999999</v>
      </c>
      <c r="Q31" s="1479">
        <v>0.06</v>
      </c>
      <c r="R31" s="1542">
        <v>0.76</v>
      </c>
      <c r="S31" s="1506">
        <v>18901471.390000001</v>
      </c>
      <c r="T31" s="1479">
        <v>0.06</v>
      </c>
      <c r="U31" s="1506">
        <v>0.76</v>
      </c>
      <c r="V31" s="1508">
        <v>0</v>
      </c>
      <c r="W31" s="1479">
        <v>0</v>
      </c>
      <c r="X31" s="1506">
        <v>0</v>
      </c>
      <c r="Y31" s="1506">
        <v>0</v>
      </c>
      <c r="Z31" s="1479">
        <v>0</v>
      </c>
      <c r="AA31" s="1506">
        <v>0</v>
      </c>
      <c r="AB31" s="1506">
        <v>0</v>
      </c>
      <c r="AC31" s="1479">
        <v>0</v>
      </c>
      <c r="AD31" s="1506">
        <v>0</v>
      </c>
      <c r="AE31" s="1506">
        <v>0</v>
      </c>
      <c r="AF31" s="1479">
        <v>0</v>
      </c>
      <c r="AG31" s="1506">
        <v>0</v>
      </c>
      <c r="AH31" s="1506">
        <v>0</v>
      </c>
      <c r="AI31" s="1479">
        <v>0</v>
      </c>
      <c r="AJ31" s="1506">
        <v>0</v>
      </c>
    </row>
    <row r="32" spans="2:36" s="147" customFormat="1" ht="6" customHeight="1" x14ac:dyDescent="0.25">
      <c r="B32" s="1502"/>
      <c r="C32" s="1505"/>
      <c r="D32" s="1506"/>
      <c r="E32" s="1479"/>
      <c r="F32" s="1511"/>
      <c r="G32" s="1506"/>
      <c r="H32" s="1479"/>
      <c r="I32" s="1479"/>
      <c r="J32" s="1506"/>
      <c r="K32" s="1479"/>
      <c r="L32" s="1479"/>
      <c r="M32" s="1506"/>
      <c r="N32" s="1479"/>
      <c r="O32" s="1479"/>
      <c r="P32" s="1479"/>
      <c r="Q32" s="1479"/>
      <c r="R32" s="1480"/>
      <c r="S32" s="1506"/>
      <c r="T32" s="1479"/>
      <c r="U32" s="1479"/>
      <c r="V32" s="1508"/>
      <c r="W32" s="1479"/>
      <c r="X32" s="1479"/>
      <c r="Y32" s="1506"/>
      <c r="Z32" s="1479"/>
      <c r="AA32" s="1479"/>
      <c r="AB32" s="1506"/>
      <c r="AC32" s="1479"/>
      <c r="AD32" s="1479"/>
      <c r="AE32" s="1506"/>
      <c r="AF32" s="1479"/>
      <c r="AG32" s="1479"/>
      <c r="AH32" s="1506"/>
      <c r="AI32" s="1479"/>
      <c r="AJ32" s="1479"/>
    </row>
    <row r="33" spans="2:38" s="147" customFormat="1" ht="18" customHeight="1" x14ac:dyDescent="0.25">
      <c r="B33" s="1502" t="s">
        <v>759</v>
      </c>
      <c r="C33" s="1505"/>
      <c r="D33" s="1553">
        <f t="shared" si="12"/>
        <v>200000000</v>
      </c>
      <c r="E33" s="1554">
        <f t="shared" ref="E33" si="16">((G33*H33)+(AB33*AC33)+(AE33*AF33)+(AH33*AI33))/D33</f>
        <v>3.5000000000000003E-2</v>
      </c>
      <c r="F33" s="1511"/>
      <c r="G33" s="1555">
        <f>J33+M33</f>
        <v>200000000</v>
      </c>
      <c r="H33" s="1556">
        <f>((J33*K33)+(M33*N33))/G33</f>
        <v>3.5000000000000003E-2</v>
      </c>
      <c r="I33" s="1553">
        <f t="shared" si="14"/>
        <v>18.170000000000002</v>
      </c>
      <c r="J33" s="1553">
        <v>0</v>
      </c>
      <c r="K33" s="1557">
        <v>0</v>
      </c>
      <c r="L33" s="1553">
        <v>0</v>
      </c>
      <c r="M33" s="1553">
        <f>P33+S33+V33+Y33</f>
        <v>200000000</v>
      </c>
      <c r="N33" s="1557">
        <f>((P33*Q33)+(S33*T33)+(V33*W33)+(Y33*Z33))/M33</f>
        <v>3.5000000000000003E-2</v>
      </c>
      <c r="O33" s="1553">
        <f t="shared" si="15"/>
        <v>18.170000000000002</v>
      </c>
      <c r="P33" s="1553">
        <f>Hoja10!F101</f>
        <v>71882137.159999996</v>
      </c>
      <c r="Q33" s="1557">
        <v>3.5000000000000003E-2</v>
      </c>
      <c r="R33" s="1558">
        <v>18.170000000000002</v>
      </c>
      <c r="S33" s="1553">
        <f>Hoja10!F227</f>
        <v>128117862.84</v>
      </c>
      <c r="T33" s="1557">
        <v>3.5000000000000003E-2</v>
      </c>
      <c r="U33" s="1553">
        <v>18.170000000000002</v>
      </c>
      <c r="V33" s="1559">
        <v>0</v>
      </c>
      <c r="W33" s="1557">
        <v>0</v>
      </c>
      <c r="X33" s="1553">
        <v>0</v>
      </c>
      <c r="Y33" s="1553">
        <v>0</v>
      </c>
      <c r="Z33" s="1557">
        <v>0</v>
      </c>
      <c r="AA33" s="1553">
        <v>0</v>
      </c>
      <c r="AB33" s="1553">
        <v>0</v>
      </c>
      <c r="AC33" s="1557">
        <v>0</v>
      </c>
      <c r="AD33" s="1553">
        <v>0</v>
      </c>
      <c r="AE33" s="1553">
        <v>0</v>
      </c>
      <c r="AF33" s="1557">
        <v>0</v>
      </c>
      <c r="AG33" s="1553">
        <v>0</v>
      </c>
      <c r="AH33" s="1553">
        <v>0</v>
      </c>
      <c r="AI33" s="1557">
        <v>0</v>
      </c>
      <c r="AJ33" s="1553">
        <v>0</v>
      </c>
    </row>
    <row r="34" spans="2:38" s="151" customFormat="1" ht="6.75" customHeight="1" x14ac:dyDescent="0.25">
      <c r="B34" s="1510"/>
      <c r="C34" s="1511"/>
      <c r="D34" s="1509"/>
      <c r="E34" s="1512"/>
      <c r="F34" s="1501"/>
      <c r="G34" s="1501"/>
      <c r="H34" s="1513"/>
      <c r="I34" s="1514"/>
      <c r="J34" s="1501"/>
      <c r="K34" s="1514"/>
      <c r="L34" s="1514"/>
      <c r="M34" s="1501"/>
      <c r="N34" s="1514"/>
      <c r="O34" s="1514"/>
      <c r="P34" s="1501"/>
      <c r="Q34" s="1514"/>
      <c r="R34" s="1514"/>
      <c r="S34" s="1501"/>
      <c r="T34" s="1513"/>
      <c r="U34" s="1513"/>
      <c r="V34" s="1515"/>
      <c r="W34" s="1514"/>
      <c r="X34" s="1514"/>
      <c r="Y34" s="1501"/>
      <c r="Z34" s="1514"/>
      <c r="AA34" s="1514"/>
      <c r="AB34" s="1501"/>
      <c r="AC34" s="1514"/>
      <c r="AD34" s="1514"/>
      <c r="AE34" s="1501"/>
      <c r="AF34" s="1514"/>
      <c r="AG34" s="1514"/>
      <c r="AH34" s="1501"/>
      <c r="AI34" s="1514"/>
      <c r="AJ34" s="1501"/>
    </row>
    <row r="35" spans="2:38" s="156" customFormat="1" ht="20.149999999999999" customHeight="1" x14ac:dyDescent="0.25">
      <c r="B35" s="1511" t="s">
        <v>71</v>
      </c>
      <c r="C35" s="1503"/>
      <c r="D35" s="1509"/>
      <c r="E35" s="1516"/>
      <c r="F35" s="1503"/>
      <c r="G35" s="1503"/>
      <c r="H35" s="1517"/>
      <c r="I35" s="1517"/>
      <c r="J35" s="1503"/>
      <c r="K35" s="1517"/>
      <c r="L35" s="1517"/>
      <c r="M35" s="1503"/>
      <c r="N35" s="1517"/>
      <c r="O35" s="1517"/>
      <c r="P35" s="1503"/>
      <c r="Q35" s="1517"/>
      <c r="R35" s="1517"/>
      <c r="S35" s="1503"/>
      <c r="T35" s="1517"/>
      <c r="U35" s="1517"/>
      <c r="V35" s="1518"/>
      <c r="W35" s="1517"/>
      <c r="X35" s="1517"/>
      <c r="Y35" s="1503"/>
      <c r="Z35" s="1517"/>
      <c r="AA35" s="1517"/>
      <c r="AB35" s="1503"/>
      <c r="AC35" s="1517"/>
      <c r="AD35" s="1517"/>
      <c r="AE35" s="1503"/>
      <c r="AF35" s="1517"/>
      <c r="AG35" s="1517"/>
      <c r="AH35" s="1503"/>
      <c r="AI35" s="1517"/>
      <c r="AJ35" s="1503"/>
    </row>
    <row r="36" spans="2:38" s="156" customFormat="1" ht="50.25" customHeight="1" x14ac:dyDescent="0.25">
      <c r="B36" s="1608" t="s">
        <v>755</v>
      </c>
      <c r="C36" s="1608"/>
      <c r="D36" s="1608"/>
      <c r="E36" s="1608"/>
      <c r="F36" s="1608"/>
      <c r="G36" s="1608"/>
      <c r="H36" s="1608"/>
      <c r="I36" s="1608"/>
      <c r="J36" s="1608"/>
      <c r="K36" s="1608"/>
      <c r="L36" s="1608"/>
      <c r="M36" s="1608"/>
      <c r="N36" s="1608"/>
      <c r="O36" s="1608"/>
      <c r="P36" s="1608"/>
      <c r="Q36" s="1608"/>
      <c r="R36" s="1608"/>
      <c r="S36" s="1608"/>
      <c r="T36" s="1608"/>
      <c r="U36" s="1608"/>
      <c r="V36" s="1608"/>
      <c r="W36" s="1608"/>
      <c r="X36" s="1608"/>
      <c r="Y36" s="1608"/>
      <c r="Z36" s="1608"/>
      <c r="AA36" s="1608"/>
      <c r="AB36" s="1608"/>
      <c r="AC36" s="1608"/>
      <c r="AD36" s="1608"/>
      <c r="AE36" s="1608"/>
      <c r="AF36" s="1608"/>
      <c r="AG36" s="1608"/>
      <c r="AH36" s="1608"/>
      <c r="AI36" s="1608"/>
      <c r="AJ36" s="1608"/>
      <c r="AK36" s="1608"/>
      <c r="AL36" s="1608"/>
    </row>
    <row r="37" spans="2:38" s="156" customFormat="1" ht="35.15" customHeight="1" x14ac:dyDescent="0.25">
      <c r="B37" s="1608" t="s">
        <v>765</v>
      </c>
      <c r="C37" s="1608"/>
      <c r="D37" s="1608"/>
      <c r="E37" s="1608"/>
      <c r="F37" s="1608"/>
      <c r="G37" s="1608"/>
      <c r="H37" s="1608"/>
      <c r="I37" s="1608"/>
      <c r="J37" s="1608"/>
      <c r="K37" s="1608"/>
      <c r="L37" s="1608"/>
      <c r="M37" s="1608"/>
      <c r="N37" s="1608"/>
      <c r="O37" s="1608"/>
      <c r="P37" s="1608"/>
      <c r="Q37" s="1608"/>
      <c r="R37" s="1608"/>
      <c r="S37" s="1608"/>
      <c r="T37" s="1608"/>
      <c r="U37" s="1608"/>
      <c r="V37" s="1608"/>
      <c r="W37" s="1608"/>
      <c r="X37" s="1608"/>
      <c r="Y37" s="1608"/>
      <c r="Z37" s="1608"/>
      <c r="AA37" s="1608"/>
      <c r="AB37" s="1608"/>
      <c r="AC37" s="1608"/>
      <c r="AD37" s="1608"/>
      <c r="AE37" s="1608"/>
      <c r="AF37" s="1608"/>
      <c r="AG37" s="1608"/>
      <c r="AH37" s="1608"/>
      <c r="AI37" s="1608"/>
      <c r="AJ37" s="1608"/>
      <c r="AK37" s="1608"/>
      <c r="AL37" s="1608"/>
    </row>
    <row r="38" spans="2:38" s="156" customFormat="1" ht="35.15" customHeight="1" x14ac:dyDescent="0.25">
      <c r="B38" s="1608" t="s">
        <v>81</v>
      </c>
      <c r="C38" s="1608"/>
      <c r="D38" s="1608"/>
      <c r="E38" s="1608"/>
      <c r="F38" s="1608"/>
      <c r="G38" s="1608"/>
      <c r="H38" s="1608"/>
      <c r="I38" s="1608"/>
      <c r="J38" s="1608"/>
      <c r="K38" s="1608"/>
      <c r="L38" s="1608"/>
      <c r="M38" s="1608"/>
      <c r="N38" s="1608"/>
      <c r="O38" s="1608"/>
      <c r="P38" s="1608"/>
      <c r="Q38" s="1608"/>
      <c r="R38" s="1608"/>
      <c r="S38" s="1608"/>
      <c r="T38" s="1608"/>
      <c r="U38" s="1608"/>
      <c r="V38" s="1608"/>
      <c r="W38" s="1608"/>
      <c r="X38" s="1608"/>
      <c r="Y38" s="1608"/>
      <c r="Z38" s="1608"/>
      <c r="AA38" s="1608"/>
      <c r="AB38" s="1608"/>
      <c r="AC38" s="1608"/>
      <c r="AD38" s="1608"/>
      <c r="AE38" s="1608"/>
      <c r="AF38" s="1608"/>
      <c r="AG38" s="1608"/>
      <c r="AH38" s="1608"/>
      <c r="AI38" s="1608"/>
      <c r="AJ38" s="1608"/>
      <c r="AK38" s="1608"/>
      <c r="AL38" s="1608"/>
    </row>
    <row r="39" spans="2:38" s="156" customFormat="1" ht="36" customHeight="1" x14ac:dyDescent="0.25">
      <c r="B39" s="1608" t="s">
        <v>763</v>
      </c>
      <c r="C39" s="1608"/>
      <c r="D39" s="1608"/>
      <c r="E39" s="1608"/>
      <c r="F39" s="1608"/>
      <c r="G39" s="1608"/>
      <c r="H39" s="1608"/>
      <c r="I39" s="1608"/>
      <c r="J39" s="1608"/>
      <c r="K39" s="1608"/>
      <c r="L39" s="1608"/>
      <c r="M39" s="1608"/>
      <c r="N39" s="1608"/>
      <c r="O39" s="1608"/>
      <c r="P39" s="1608"/>
      <c r="Q39" s="1608"/>
      <c r="R39" s="1608"/>
      <c r="S39" s="1608"/>
      <c r="T39" s="1608"/>
      <c r="U39" s="1608"/>
      <c r="V39" s="1608"/>
      <c r="W39" s="1608"/>
      <c r="X39" s="1608"/>
      <c r="Y39" s="1608"/>
      <c r="Z39" s="1608"/>
      <c r="AA39" s="1608"/>
      <c r="AB39" s="1608"/>
      <c r="AC39" s="1608"/>
      <c r="AD39" s="1608"/>
      <c r="AE39" s="1608"/>
      <c r="AF39" s="1608"/>
      <c r="AG39" s="1608"/>
      <c r="AH39" s="1608"/>
      <c r="AI39" s="1608"/>
      <c r="AJ39" s="1608"/>
      <c r="AK39" s="1608"/>
      <c r="AL39" s="1608"/>
    </row>
    <row r="40" spans="2:38" s="156" customFormat="1" ht="36" customHeight="1" x14ac:dyDescent="0.25">
      <c r="B40" s="1608" t="s">
        <v>764</v>
      </c>
      <c r="C40" s="1608"/>
      <c r="D40" s="1608"/>
      <c r="E40" s="1608"/>
      <c r="F40" s="1608"/>
      <c r="G40" s="1608"/>
      <c r="H40" s="1608"/>
      <c r="I40" s="1608"/>
      <c r="J40" s="1608"/>
      <c r="K40" s="1608"/>
      <c r="L40" s="1608"/>
      <c r="M40" s="1608"/>
      <c r="N40" s="1608"/>
      <c r="O40" s="1608"/>
      <c r="P40" s="1608"/>
      <c r="Q40" s="1608"/>
      <c r="R40" s="1608"/>
      <c r="S40" s="1608"/>
      <c r="T40" s="1608"/>
      <c r="U40" s="1608"/>
      <c r="V40" s="1608"/>
      <c r="W40" s="1608"/>
      <c r="X40" s="1608"/>
      <c r="Y40" s="1608"/>
      <c r="Z40" s="1608"/>
      <c r="AA40" s="1608"/>
      <c r="AB40" s="1608"/>
      <c r="AC40" s="1608"/>
      <c r="AD40" s="1608"/>
      <c r="AE40" s="1608"/>
      <c r="AF40" s="1608"/>
      <c r="AG40" s="1608"/>
      <c r="AH40" s="1608"/>
      <c r="AI40" s="1608"/>
      <c r="AJ40" s="1608"/>
      <c r="AK40" s="1608"/>
      <c r="AL40" s="1608"/>
    </row>
    <row r="41" spans="2:38" s="156" customFormat="1" ht="37.5" customHeight="1" x14ac:dyDescent="0.25">
      <c r="B41" s="1608" t="s">
        <v>761</v>
      </c>
      <c r="C41" s="1608"/>
      <c r="D41" s="1608"/>
      <c r="E41" s="1608"/>
      <c r="F41" s="1608"/>
      <c r="G41" s="1608"/>
      <c r="H41" s="1608"/>
      <c r="I41" s="1608"/>
      <c r="J41" s="1608"/>
      <c r="K41" s="1608"/>
      <c r="L41" s="1608"/>
      <c r="M41" s="1608"/>
      <c r="N41" s="1608"/>
      <c r="O41" s="1608"/>
      <c r="P41" s="1608"/>
      <c r="Q41" s="1608"/>
      <c r="R41" s="1608"/>
      <c r="S41" s="1608"/>
      <c r="T41" s="1608"/>
      <c r="U41" s="1608"/>
      <c r="V41" s="1608"/>
      <c r="W41" s="1608"/>
      <c r="X41" s="1608"/>
      <c r="Y41" s="1608"/>
      <c r="Z41" s="1608"/>
      <c r="AA41" s="1608"/>
      <c r="AB41" s="1608"/>
      <c r="AC41" s="1608"/>
      <c r="AD41" s="1608"/>
      <c r="AE41" s="1608"/>
      <c r="AF41" s="1608"/>
      <c r="AG41" s="1608"/>
      <c r="AH41" s="1608"/>
      <c r="AI41" s="1608"/>
      <c r="AJ41" s="1608"/>
      <c r="AK41" s="1608"/>
      <c r="AL41" s="1608"/>
    </row>
    <row r="42" spans="2:38" s="156" customFormat="1" ht="8.25" customHeight="1" x14ac:dyDescent="0.25">
      <c r="B42" s="1511"/>
      <c r="C42" s="1503"/>
      <c r="D42" s="1509"/>
      <c r="E42" s="1519"/>
      <c r="F42" s="1503"/>
      <c r="G42" s="1503"/>
      <c r="H42" s="1517"/>
      <c r="I42" s="1517"/>
      <c r="J42" s="1503"/>
      <c r="K42" s="1517"/>
      <c r="L42" s="1517"/>
      <c r="M42" s="1503"/>
      <c r="N42" s="1517"/>
      <c r="O42" s="1517"/>
      <c r="P42" s="1503"/>
      <c r="Q42" s="1517"/>
      <c r="R42" s="1517"/>
      <c r="S42" s="1503"/>
      <c r="T42" s="1517"/>
      <c r="U42" s="1517"/>
      <c r="V42" s="1518"/>
      <c r="W42" s="1517"/>
      <c r="X42" s="1517"/>
      <c r="Y42" s="1503"/>
      <c r="Z42" s="1517"/>
      <c r="AA42" s="1517"/>
      <c r="AB42" s="1503"/>
      <c r="AC42" s="1517"/>
      <c r="AD42" s="1517"/>
      <c r="AE42" s="1503"/>
      <c r="AF42" s="1517"/>
      <c r="AG42" s="1517"/>
      <c r="AH42" s="1503"/>
      <c r="AI42" s="1517"/>
      <c r="AJ42" s="1503"/>
    </row>
    <row r="43" spans="2:38" s="156" customFormat="1" ht="20.149999999999999" customHeight="1" x14ac:dyDescent="0.25">
      <c r="B43" s="1511" t="s">
        <v>770</v>
      </c>
      <c r="C43" s="1503"/>
      <c r="D43" s="1509"/>
      <c r="E43" s="1519"/>
      <c r="F43" s="1503"/>
      <c r="G43" s="1503"/>
      <c r="H43" s="1517"/>
      <c r="I43" s="1517"/>
      <c r="J43" s="1503"/>
      <c r="K43" s="1517"/>
      <c r="L43" s="1517"/>
      <c r="M43" s="1503"/>
      <c r="N43" s="1517"/>
      <c r="O43" s="1517"/>
      <c r="P43" s="1503"/>
      <c r="Q43" s="1517"/>
      <c r="R43" s="1517"/>
      <c r="S43" s="1503"/>
      <c r="T43" s="1517"/>
      <c r="U43" s="1517"/>
      <c r="V43" s="1518"/>
      <c r="W43" s="1517"/>
      <c r="X43" s="1517"/>
      <c r="Y43" s="1503"/>
      <c r="Z43" s="1517"/>
      <c r="AA43" s="1517"/>
      <c r="AB43" s="1503"/>
      <c r="AC43" s="1517"/>
      <c r="AD43" s="1517"/>
      <c r="AE43" s="1503"/>
      <c r="AF43" s="1517"/>
      <c r="AG43" s="1517"/>
      <c r="AH43" s="1503"/>
      <c r="AI43" s="1517"/>
      <c r="AJ43" s="1503"/>
    </row>
    <row r="44" spans="2:38" s="156" customFormat="1" ht="36" customHeight="1" x14ac:dyDescent="0.25">
      <c r="B44" s="1608" t="s">
        <v>78</v>
      </c>
      <c r="C44" s="1608"/>
      <c r="D44" s="1608"/>
      <c r="E44" s="1608"/>
      <c r="F44" s="1608"/>
      <c r="G44" s="1608"/>
      <c r="H44" s="1608"/>
      <c r="I44" s="1608"/>
      <c r="J44" s="1608"/>
      <c r="K44" s="1608"/>
      <c r="L44" s="1608"/>
      <c r="M44" s="1608"/>
      <c r="N44" s="1608"/>
      <c r="O44" s="1608"/>
      <c r="P44" s="1608"/>
      <c r="Q44" s="1608"/>
      <c r="R44" s="1608"/>
      <c r="S44" s="1608"/>
      <c r="T44" s="1608"/>
      <c r="U44" s="1608"/>
      <c r="V44" s="1608"/>
      <c r="W44" s="1608"/>
      <c r="X44" s="1608"/>
      <c r="Y44" s="1608"/>
      <c r="Z44" s="1608"/>
      <c r="AA44" s="1608"/>
      <c r="AB44" s="1608"/>
      <c r="AC44" s="1608"/>
      <c r="AD44" s="1608"/>
      <c r="AE44" s="1608"/>
      <c r="AF44" s="1608"/>
      <c r="AG44" s="1608"/>
      <c r="AH44" s="1608"/>
      <c r="AI44" s="1608"/>
      <c r="AJ44" s="1608"/>
      <c r="AK44" s="1608"/>
      <c r="AL44" s="1608"/>
    </row>
    <row r="45" spans="2:38" s="156" customFormat="1" ht="20.149999999999999" customHeight="1" x14ac:dyDescent="0.25">
      <c r="B45" s="1576" t="s">
        <v>79</v>
      </c>
      <c r="C45" s="1503"/>
      <c r="D45" s="1509"/>
      <c r="E45" s="1519"/>
      <c r="F45" s="1503"/>
      <c r="G45" s="1503"/>
      <c r="H45" s="1517"/>
      <c r="I45" s="1503"/>
      <c r="J45" s="1503"/>
      <c r="K45" s="1503"/>
      <c r="L45" s="1503"/>
      <c r="M45" s="1503"/>
      <c r="N45" s="1517"/>
      <c r="O45" s="1517"/>
      <c r="P45" s="1503"/>
      <c r="Q45" s="1517"/>
      <c r="R45" s="1517"/>
      <c r="S45" s="1503"/>
      <c r="T45" s="1517"/>
      <c r="U45" s="1517"/>
      <c r="V45" s="1518"/>
      <c r="W45" s="1517"/>
      <c r="X45" s="1517"/>
      <c r="Y45" s="1503"/>
      <c r="Z45" s="1517"/>
      <c r="AA45" s="1517"/>
      <c r="AB45" s="1503"/>
      <c r="AC45" s="1517"/>
      <c r="AD45" s="1517"/>
      <c r="AE45" s="1503"/>
      <c r="AF45" s="1517"/>
      <c r="AG45" s="1517"/>
      <c r="AH45" s="1503"/>
      <c r="AI45" s="1517"/>
      <c r="AJ45" s="1503"/>
    </row>
    <row r="46" spans="2:38" s="156" customFormat="1" ht="8.25" customHeight="1" x14ac:dyDescent="0.25">
      <c r="B46" s="1576"/>
      <c r="C46" s="1503"/>
      <c r="D46" s="1509"/>
      <c r="E46" s="1519"/>
      <c r="F46" s="1503"/>
      <c r="G46" s="1503"/>
      <c r="H46" s="1517"/>
      <c r="I46" s="1503"/>
      <c r="J46" s="1503"/>
      <c r="K46" s="1503"/>
      <c r="L46" s="1503"/>
      <c r="M46" s="1503"/>
      <c r="N46" s="1517"/>
      <c r="O46" s="1517"/>
      <c r="P46" s="1503"/>
      <c r="Q46" s="1517"/>
      <c r="R46" s="1517"/>
      <c r="S46" s="1501"/>
      <c r="T46" s="1514"/>
      <c r="U46" s="1514"/>
      <c r="V46" s="1515"/>
      <c r="W46" s="1514"/>
      <c r="X46" s="1514"/>
      <c r="Y46" s="1501"/>
      <c r="Z46" s="1514"/>
      <c r="AA46" s="1514"/>
      <c r="AB46" s="1501"/>
      <c r="AC46" s="1517"/>
      <c r="AD46" s="1517"/>
      <c r="AE46" s="1503"/>
      <c r="AF46" s="1517"/>
      <c r="AG46" s="1517"/>
      <c r="AH46" s="1503"/>
      <c r="AI46" s="1517"/>
      <c r="AJ46" s="1503"/>
    </row>
    <row r="47" spans="2:38" s="156" customFormat="1" ht="20.149999999999999" customHeight="1" x14ac:dyDescent="0.25">
      <c r="B47" s="1576" t="s">
        <v>768</v>
      </c>
      <c r="C47" s="1503"/>
      <c r="D47" s="1509"/>
      <c r="E47" s="1519"/>
      <c r="F47" s="1503"/>
      <c r="G47" s="1503"/>
      <c r="H47" s="1517"/>
      <c r="I47" s="1517"/>
      <c r="J47" s="1503"/>
      <c r="K47" s="1517"/>
      <c r="L47" s="1517"/>
      <c r="M47" s="1503"/>
      <c r="N47" s="1517"/>
      <c r="O47" s="1517"/>
      <c r="P47" s="1503"/>
      <c r="Q47" s="1517"/>
      <c r="R47" s="1517"/>
      <c r="S47" s="1503"/>
      <c r="T47" s="1517"/>
      <c r="U47" s="1517"/>
      <c r="V47" s="1518"/>
      <c r="W47" s="1517"/>
      <c r="X47" s="1517"/>
      <c r="Y47" s="1503"/>
      <c r="Z47" s="1517"/>
      <c r="AA47" s="1517"/>
      <c r="AB47" s="1503"/>
      <c r="AC47" s="1517"/>
      <c r="AD47" s="1517"/>
      <c r="AE47" s="1503"/>
      <c r="AF47" s="1517"/>
      <c r="AG47" s="1517"/>
      <c r="AH47" s="1503"/>
      <c r="AI47" s="1517"/>
      <c r="AJ47" s="1503"/>
    </row>
    <row r="48" spans="2:38" s="158" customFormat="1" ht="17.25" customHeight="1" x14ac:dyDescent="0.25">
      <c r="B48" s="1577" t="s">
        <v>769</v>
      </c>
      <c r="C48" s="1481"/>
      <c r="D48" s="1478"/>
      <c r="E48" s="1482"/>
      <c r="F48" s="1481"/>
      <c r="G48" s="1481"/>
      <c r="H48" s="1483"/>
      <c r="I48" s="1483"/>
      <c r="J48" s="1481"/>
      <c r="K48" s="1483"/>
      <c r="L48" s="1483"/>
      <c r="M48" s="1481"/>
      <c r="N48" s="1483"/>
      <c r="O48" s="1483"/>
      <c r="P48" s="1481"/>
      <c r="Q48" s="1483"/>
      <c r="R48" s="1483"/>
      <c r="S48" s="1481"/>
      <c r="T48" s="1483"/>
      <c r="U48" s="1483"/>
      <c r="V48" s="1484"/>
      <c r="W48" s="1483"/>
      <c r="X48" s="1483"/>
      <c r="Y48" s="1481"/>
      <c r="Z48" s="1483"/>
      <c r="AA48" s="1483"/>
      <c r="AB48" s="1481"/>
      <c r="AC48" s="1483"/>
      <c r="AD48" s="1483"/>
      <c r="AE48" s="1481"/>
      <c r="AF48" s="1483"/>
      <c r="AG48" s="1483"/>
      <c r="AH48" s="1481"/>
      <c r="AI48" s="1483"/>
      <c r="AJ48" s="1481"/>
    </row>
    <row r="49" spans="4:35" s="161" customFormat="1" ht="20.149999999999999" customHeight="1" x14ac:dyDescent="0.25">
      <c r="D49" s="6"/>
      <c r="E49" s="191"/>
      <c r="H49" s="186"/>
      <c r="I49" s="186"/>
      <c r="K49" s="186"/>
      <c r="L49" s="186"/>
      <c r="N49" s="186"/>
      <c r="O49" s="186"/>
      <c r="Q49" s="186"/>
      <c r="R49" s="186"/>
      <c r="T49" s="186"/>
      <c r="U49" s="186"/>
      <c r="V49" s="1466"/>
      <c r="W49" s="186"/>
      <c r="X49" s="186"/>
      <c r="Z49" s="186"/>
      <c r="AA49" s="186"/>
      <c r="AC49" s="186"/>
      <c r="AD49" s="186"/>
      <c r="AF49" s="186"/>
      <c r="AG49" s="186"/>
      <c r="AI49" s="186"/>
    </row>
    <row r="50" spans="4:35" s="161" customFormat="1" ht="20.149999999999999" customHeight="1" x14ac:dyDescent="0.25">
      <c r="D50" s="6"/>
      <c r="E50" s="191"/>
      <c r="H50" s="186"/>
      <c r="N50" s="186"/>
      <c r="O50" s="186"/>
      <c r="Q50" s="186"/>
      <c r="R50" s="186"/>
      <c r="T50" s="186"/>
      <c r="U50" s="186"/>
      <c r="V50" s="1466"/>
      <c r="W50" s="186"/>
      <c r="X50" s="186"/>
      <c r="Z50" s="186"/>
      <c r="AA50" s="186"/>
      <c r="AC50" s="186"/>
      <c r="AD50" s="186"/>
      <c r="AF50" s="186"/>
      <c r="AG50" s="186"/>
      <c r="AI50" s="186"/>
    </row>
  </sheetData>
  <sheetProtection selectLockedCells="1" selectUnlockedCells="1"/>
  <mergeCells count="25">
    <mergeCell ref="B38:AL38"/>
    <mergeCell ref="B39:AL39"/>
    <mergeCell ref="B40:AL40"/>
    <mergeCell ref="B41:AL41"/>
    <mergeCell ref="B44:AL44"/>
    <mergeCell ref="B36:AL36"/>
    <mergeCell ref="B37:AL37"/>
    <mergeCell ref="M7:O7"/>
    <mergeCell ref="P7:R7"/>
    <mergeCell ref="S7:U7"/>
    <mergeCell ref="V7:X7"/>
    <mergeCell ref="Y7:AA7"/>
    <mergeCell ref="AB7:AD7"/>
    <mergeCell ref="B2:AJ2"/>
    <mergeCell ref="B3:AJ3"/>
    <mergeCell ref="B5:AJ5"/>
    <mergeCell ref="B6:AJ6"/>
    <mergeCell ref="B7:B8"/>
    <mergeCell ref="D7:D8"/>
    <mergeCell ref="E7:E8"/>
    <mergeCell ref="G7:I7"/>
    <mergeCell ref="J7:L7"/>
    <mergeCell ref="AE7:AG7"/>
    <mergeCell ref="AH7:AJ7"/>
    <mergeCell ref="B4:AG4"/>
  </mergeCells>
  <printOptions horizontalCentered="1"/>
  <pageMargins left="0" right="0" top="0.98425196850393704" bottom="0.59055118110236227" header="0" footer="0"/>
  <pageSetup scale="66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96633"/>
    <pageSetUpPr fitToPage="1"/>
  </sheetPr>
  <dimension ref="B1:AL50"/>
  <sheetViews>
    <sheetView showGridLines="0" zoomScale="130" zoomScaleNormal="130" workbookViewId="0">
      <selection activeCell="AN8" sqref="AN8"/>
    </sheetView>
  </sheetViews>
  <sheetFormatPr baseColWidth="10" defaultColWidth="11.453125" defaultRowHeight="13" x14ac:dyDescent="0.25"/>
  <cols>
    <col min="1" max="1" width="3.453125" style="30" customWidth="1"/>
    <col min="2" max="2" width="32.54296875" style="30" customWidth="1"/>
    <col min="3" max="3" width="0.81640625" style="30" customWidth="1"/>
    <col min="4" max="4" width="15.7265625" style="31" hidden="1" customWidth="1"/>
    <col min="5" max="5" width="9.26953125" style="193" hidden="1" customWidth="1"/>
    <col min="6" max="6" width="1" style="30" hidden="1" customWidth="1"/>
    <col min="7" max="7" width="15.7265625" style="30" hidden="1" customWidth="1"/>
    <col min="8" max="9" width="7.7265625" style="185" hidden="1" customWidth="1"/>
    <col min="10" max="10" width="15.7265625" style="30" hidden="1" customWidth="1"/>
    <col min="11" max="12" width="7.7265625" style="185" hidden="1" customWidth="1"/>
    <col min="13" max="13" width="15.7265625" style="30" hidden="1" customWidth="1"/>
    <col min="14" max="15" width="7.7265625" style="185" hidden="1" customWidth="1"/>
    <col min="16" max="16" width="15.7265625" style="30" hidden="1" customWidth="1"/>
    <col min="17" max="18" width="7.7265625" style="185" hidden="1" customWidth="1"/>
    <col min="19" max="19" width="15.7265625" style="30" hidden="1" customWidth="1"/>
    <col min="20" max="21" width="7.7265625" style="185" hidden="1" customWidth="1"/>
    <col min="22" max="22" width="15.7265625" style="1465" hidden="1" customWidth="1"/>
    <col min="23" max="24" width="7.7265625" style="185" hidden="1" customWidth="1"/>
    <col min="25" max="25" width="15.7265625" style="30" hidden="1" customWidth="1"/>
    <col min="26" max="27" width="7.7265625" style="185" hidden="1" customWidth="1"/>
    <col min="28" max="28" width="15.7265625" style="30" hidden="1" customWidth="1"/>
    <col min="29" max="30" width="7.7265625" style="185" hidden="1" customWidth="1"/>
    <col min="31" max="31" width="15.7265625" style="30" hidden="1" customWidth="1"/>
    <col min="32" max="33" width="7.7265625" style="185" hidden="1" customWidth="1"/>
    <col min="34" max="34" width="15.7265625" style="30" customWidth="1"/>
    <col min="35" max="35" width="7.7265625" style="185" customWidth="1"/>
    <col min="36" max="36" width="7.7265625" style="30" customWidth="1"/>
    <col min="37" max="16384" width="11.453125" style="30"/>
  </cols>
  <sheetData>
    <row r="1" spans="2:36" ht="15.5" x14ac:dyDescent="0.25">
      <c r="B1" s="137"/>
      <c r="C1" s="138"/>
      <c r="D1" s="138"/>
      <c r="E1" s="182"/>
      <c r="F1" s="138"/>
      <c r="G1" s="138"/>
      <c r="H1" s="182"/>
      <c r="I1" s="182"/>
      <c r="J1" s="138"/>
      <c r="K1" s="182"/>
      <c r="L1" s="182"/>
      <c r="M1" s="138"/>
      <c r="N1" s="182"/>
      <c r="O1" s="182"/>
      <c r="P1" s="138"/>
      <c r="Q1" s="182"/>
      <c r="R1" s="182"/>
      <c r="S1" s="138"/>
      <c r="T1" s="182"/>
      <c r="U1" s="182"/>
      <c r="V1" s="1457"/>
      <c r="W1" s="182"/>
      <c r="X1" s="182"/>
      <c r="Y1" s="138"/>
      <c r="Z1" s="182"/>
      <c r="AA1" s="182"/>
      <c r="AB1" s="138"/>
      <c r="AC1" s="182"/>
      <c r="AD1" s="182"/>
      <c r="AE1" s="138"/>
      <c r="AF1" s="182"/>
      <c r="AG1" s="182"/>
      <c r="AH1" s="138"/>
      <c r="AI1" s="182"/>
    </row>
    <row r="2" spans="2:36" ht="21" customHeight="1" x14ac:dyDescent="0.25">
      <c r="B2" s="1605" t="s">
        <v>0</v>
      </c>
      <c r="C2" s="1605"/>
      <c r="D2" s="1605"/>
      <c r="E2" s="1605"/>
      <c r="F2" s="1605"/>
      <c r="G2" s="1605"/>
      <c r="H2" s="1605"/>
      <c r="I2" s="1605"/>
      <c r="J2" s="1605"/>
      <c r="K2" s="1605"/>
      <c r="L2" s="1605"/>
      <c r="M2" s="1605"/>
      <c r="N2" s="1605"/>
      <c r="O2" s="1605"/>
      <c r="P2" s="1605"/>
      <c r="Q2" s="1605"/>
      <c r="R2" s="1605"/>
      <c r="S2" s="1605"/>
      <c r="T2" s="1605"/>
      <c r="U2" s="1605"/>
      <c r="V2" s="1605"/>
      <c r="W2" s="1605"/>
      <c r="X2" s="1605"/>
      <c r="Y2" s="1605"/>
      <c r="Z2" s="1605"/>
      <c r="AA2" s="1605"/>
      <c r="AB2" s="1605"/>
      <c r="AC2" s="1605"/>
      <c r="AD2" s="1605"/>
      <c r="AE2" s="1605"/>
      <c r="AF2" s="1605"/>
      <c r="AG2" s="1605"/>
      <c r="AH2" s="1605"/>
      <c r="AI2" s="1605"/>
      <c r="AJ2" s="1605"/>
    </row>
    <row r="3" spans="2:36" ht="21" customHeight="1" x14ac:dyDescent="0.25">
      <c r="B3" s="1605" t="s">
        <v>1</v>
      </c>
      <c r="C3" s="1605"/>
      <c r="D3" s="1605"/>
      <c r="E3" s="1605"/>
      <c r="F3" s="1605"/>
      <c r="G3" s="1605"/>
      <c r="H3" s="1605"/>
      <c r="I3" s="1605"/>
      <c r="J3" s="1605"/>
      <c r="K3" s="1605"/>
      <c r="L3" s="1605"/>
      <c r="M3" s="1605"/>
      <c r="N3" s="1605"/>
      <c r="O3" s="1605"/>
      <c r="P3" s="1605"/>
      <c r="Q3" s="1605"/>
      <c r="R3" s="1605"/>
      <c r="S3" s="1605"/>
      <c r="T3" s="1605"/>
      <c r="U3" s="1605"/>
      <c r="V3" s="1605"/>
      <c r="W3" s="1605"/>
      <c r="X3" s="1605"/>
      <c r="Y3" s="1605"/>
      <c r="Z3" s="1605"/>
      <c r="AA3" s="1605"/>
      <c r="AB3" s="1605"/>
      <c r="AC3" s="1605"/>
      <c r="AD3" s="1605"/>
      <c r="AE3" s="1605"/>
      <c r="AF3" s="1605"/>
      <c r="AG3" s="1605"/>
      <c r="AH3" s="1605"/>
      <c r="AI3" s="1605"/>
      <c r="AJ3" s="1605"/>
    </row>
    <row r="4" spans="2:36" ht="58.5" customHeight="1" x14ac:dyDescent="0.25">
      <c r="B4" s="1606" t="s">
        <v>776</v>
      </c>
      <c r="C4" s="1606"/>
      <c r="D4" s="1606"/>
      <c r="E4" s="1606"/>
      <c r="F4" s="1606"/>
      <c r="G4" s="1606"/>
      <c r="H4" s="1606"/>
      <c r="I4" s="1606"/>
      <c r="J4" s="1606"/>
      <c r="K4" s="1606"/>
      <c r="L4" s="1606"/>
      <c r="M4" s="1606"/>
      <c r="N4" s="1606"/>
      <c r="O4" s="1606"/>
      <c r="P4" s="1606"/>
      <c r="Q4" s="1606"/>
      <c r="R4" s="1606"/>
      <c r="S4" s="1606"/>
      <c r="T4" s="1606"/>
      <c r="U4" s="1606"/>
      <c r="V4" s="1606"/>
      <c r="W4" s="1606"/>
      <c r="X4" s="1606"/>
      <c r="Y4" s="1606"/>
      <c r="Z4" s="1606"/>
      <c r="AA4" s="1606"/>
      <c r="AB4" s="1606"/>
      <c r="AC4" s="1606"/>
      <c r="AD4" s="1606"/>
      <c r="AE4" s="1606"/>
      <c r="AF4" s="1606"/>
      <c r="AG4" s="1606"/>
      <c r="AH4" s="1606"/>
      <c r="AI4" s="1606"/>
      <c r="AJ4" s="1606"/>
    </row>
    <row r="5" spans="2:36" ht="21" customHeight="1" x14ac:dyDescent="0.25">
      <c r="B5" s="1605" t="s">
        <v>732</v>
      </c>
      <c r="C5" s="1605"/>
      <c r="D5" s="1605"/>
      <c r="E5" s="1605"/>
      <c r="F5" s="1605"/>
      <c r="G5" s="1605"/>
      <c r="H5" s="1605"/>
      <c r="I5" s="1605"/>
      <c r="J5" s="1605"/>
      <c r="K5" s="1605"/>
      <c r="L5" s="1605"/>
      <c r="M5" s="1605"/>
      <c r="N5" s="1605"/>
      <c r="O5" s="1605"/>
      <c r="P5" s="1605"/>
      <c r="Q5" s="1605"/>
      <c r="R5" s="1605"/>
      <c r="S5" s="1605"/>
      <c r="T5" s="1605"/>
      <c r="U5" s="1605"/>
      <c r="V5" s="1605"/>
      <c r="W5" s="1605"/>
      <c r="X5" s="1605"/>
      <c r="Y5" s="1605"/>
      <c r="Z5" s="1605"/>
      <c r="AA5" s="1605"/>
      <c r="AB5" s="1605"/>
      <c r="AC5" s="1605"/>
      <c r="AD5" s="1605"/>
      <c r="AE5" s="1605"/>
      <c r="AF5" s="1605"/>
      <c r="AG5" s="1605"/>
      <c r="AH5" s="1605"/>
      <c r="AI5" s="1605"/>
      <c r="AJ5" s="1605"/>
    </row>
    <row r="6" spans="2:36" ht="21" customHeight="1" x14ac:dyDescent="0.25">
      <c r="B6" s="1605" t="s">
        <v>4</v>
      </c>
      <c r="C6" s="1605"/>
      <c r="D6" s="1605"/>
      <c r="E6" s="1605"/>
      <c r="F6" s="1605"/>
      <c r="G6" s="1605"/>
      <c r="H6" s="1605"/>
      <c r="I6" s="1605"/>
      <c r="J6" s="1605"/>
      <c r="K6" s="1605"/>
      <c r="L6" s="1605"/>
      <c r="M6" s="1605"/>
      <c r="N6" s="1605"/>
      <c r="O6" s="1605"/>
      <c r="P6" s="1605"/>
      <c r="Q6" s="1605"/>
      <c r="R6" s="1605"/>
      <c r="S6" s="1605"/>
      <c r="T6" s="1605"/>
      <c r="U6" s="1605"/>
      <c r="V6" s="1605"/>
      <c r="W6" s="1605"/>
      <c r="X6" s="1605"/>
      <c r="Y6" s="1605"/>
      <c r="Z6" s="1605"/>
      <c r="AA6" s="1605"/>
      <c r="AB6" s="1605"/>
      <c r="AC6" s="1605"/>
      <c r="AD6" s="1605"/>
      <c r="AE6" s="1605"/>
      <c r="AF6" s="1605"/>
      <c r="AG6" s="1605"/>
      <c r="AH6" s="1605"/>
      <c r="AI6" s="1605"/>
      <c r="AJ6" s="1605"/>
    </row>
    <row r="7" spans="2:36" s="151" customFormat="1" ht="34.5" customHeight="1" x14ac:dyDescent="0.25">
      <c r="B7" s="1598" t="s">
        <v>767</v>
      </c>
      <c r="C7" s="1485"/>
      <c r="D7" s="1598" t="s">
        <v>741</v>
      </c>
      <c r="E7" s="1600" t="s">
        <v>742</v>
      </c>
      <c r="F7" s="1485"/>
      <c r="G7" s="1602" t="s">
        <v>760</v>
      </c>
      <c r="H7" s="1603"/>
      <c r="I7" s="1604"/>
      <c r="J7" s="1602" t="s">
        <v>76</v>
      </c>
      <c r="K7" s="1603"/>
      <c r="L7" s="1604"/>
      <c r="M7" s="1597" t="s">
        <v>60</v>
      </c>
      <c r="N7" s="1597"/>
      <c r="O7" s="1597"/>
      <c r="P7" s="1597" t="s">
        <v>738</v>
      </c>
      <c r="Q7" s="1597"/>
      <c r="R7" s="1597"/>
      <c r="S7" s="1597" t="s">
        <v>739</v>
      </c>
      <c r="T7" s="1597"/>
      <c r="U7" s="1597"/>
      <c r="V7" s="1597" t="s">
        <v>736</v>
      </c>
      <c r="W7" s="1597"/>
      <c r="X7" s="1597"/>
      <c r="Y7" s="1597" t="s">
        <v>737</v>
      </c>
      <c r="Z7" s="1597"/>
      <c r="AA7" s="1597"/>
      <c r="AB7" s="1597" t="s">
        <v>63</v>
      </c>
      <c r="AC7" s="1597"/>
      <c r="AD7" s="1597"/>
      <c r="AE7" s="1597" t="s">
        <v>64</v>
      </c>
      <c r="AF7" s="1597"/>
      <c r="AG7" s="1597"/>
      <c r="AH7" s="1597" t="s">
        <v>735</v>
      </c>
      <c r="AI7" s="1597"/>
      <c r="AJ7" s="1597"/>
    </row>
    <row r="8" spans="2:36" s="14" customFormat="1" ht="34.5" customHeight="1" x14ac:dyDescent="0.25">
      <c r="B8" s="1599"/>
      <c r="C8" s="1487"/>
      <c r="D8" s="1599"/>
      <c r="E8" s="1601"/>
      <c r="F8" s="1487"/>
      <c r="G8" s="1488" t="s">
        <v>733</v>
      </c>
      <c r="H8" s="1489" t="s">
        <v>734</v>
      </c>
      <c r="I8" s="1490" t="s">
        <v>740</v>
      </c>
      <c r="J8" s="1491" t="s">
        <v>733</v>
      </c>
      <c r="K8" s="1491" t="s">
        <v>734</v>
      </c>
      <c r="L8" s="1491" t="s">
        <v>740</v>
      </c>
      <c r="M8" s="1492" t="s">
        <v>733</v>
      </c>
      <c r="N8" s="1493" t="s">
        <v>734</v>
      </c>
      <c r="O8" s="1493" t="s">
        <v>740</v>
      </c>
      <c r="P8" s="1492" t="s">
        <v>733</v>
      </c>
      <c r="Q8" s="1493" t="s">
        <v>734</v>
      </c>
      <c r="R8" s="1493" t="s">
        <v>740</v>
      </c>
      <c r="S8" s="1492" t="s">
        <v>733</v>
      </c>
      <c r="T8" s="1493" t="s">
        <v>734</v>
      </c>
      <c r="U8" s="1493" t="s">
        <v>740</v>
      </c>
      <c r="V8" s="1492" t="s">
        <v>733</v>
      </c>
      <c r="W8" s="1493" t="s">
        <v>734</v>
      </c>
      <c r="X8" s="1493" t="s">
        <v>740</v>
      </c>
      <c r="Y8" s="1492" t="s">
        <v>733</v>
      </c>
      <c r="Z8" s="1493" t="s">
        <v>734</v>
      </c>
      <c r="AA8" s="1489" t="s">
        <v>740</v>
      </c>
      <c r="AB8" s="1486" t="s">
        <v>733</v>
      </c>
      <c r="AC8" s="1520" t="s">
        <v>734</v>
      </c>
      <c r="AD8" s="1522" t="s">
        <v>740</v>
      </c>
      <c r="AE8" s="1521" t="s">
        <v>733</v>
      </c>
      <c r="AF8" s="1493" t="s">
        <v>734</v>
      </c>
      <c r="AG8" s="1493" t="s">
        <v>740</v>
      </c>
      <c r="AH8" s="1492" t="s">
        <v>733</v>
      </c>
      <c r="AI8" s="1489" t="s">
        <v>734</v>
      </c>
      <c r="AJ8" s="1522" t="s">
        <v>740</v>
      </c>
    </row>
    <row r="9" spans="2:36" s="14" customFormat="1" ht="6" customHeight="1" x14ac:dyDescent="0.25">
      <c r="B9" s="1494"/>
      <c r="C9" s="1494"/>
      <c r="D9" s="1495"/>
      <c r="E9" s="1496"/>
      <c r="F9" s="1494"/>
      <c r="G9" s="1494"/>
      <c r="H9" s="1497"/>
      <c r="I9" s="1494"/>
      <c r="J9" s="1494"/>
      <c r="K9" s="1494"/>
      <c r="L9" s="1494"/>
      <c r="M9" s="1494"/>
      <c r="N9" s="1494"/>
      <c r="O9" s="1494"/>
      <c r="P9" s="1494"/>
      <c r="Q9" s="1494"/>
      <c r="R9" s="1494"/>
      <c r="S9" s="1494"/>
      <c r="T9" s="1494"/>
      <c r="U9" s="1494"/>
      <c r="V9" s="1498"/>
      <c r="W9" s="1494"/>
      <c r="X9" s="1494"/>
      <c r="Y9" s="1494"/>
      <c r="Z9" s="1494"/>
      <c r="AA9" s="1494"/>
      <c r="AB9" s="1494"/>
      <c r="AC9" s="1494"/>
      <c r="AD9" s="1494"/>
      <c r="AE9" s="1494"/>
      <c r="AF9" s="1494"/>
      <c r="AG9" s="1494"/>
      <c r="AH9" s="1494"/>
      <c r="AI9" s="1494"/>
      <c r="AJ9" s="1494"/>
    </row>
    <row r="10" spans="2:36" s="1499" customFormat="1" ht="24" customHeight="1" x14ac:dyDescent="0.25">
      <c r="B10" s="1524" t="s">
        <v>17</v>
      </c>
      <c r="C10" s="1525"/>
      <c r="D10" s="1526">
        <f>G10+AB10+AE10+AH10</f>
        <v>11059579210.6</v>
      </c>
      <c r="E10" s="1527">
        <f>((G10*H10)+(AB10*AC10)+(AE10*AF10)+(AH10*AI10))/D10</f>
        <v>4.65E-2</v>
      </c>
      <c r="F10" s="1525"/>
      <c r="G10" s="1528">
        <f>G12+G16+G24+G26+G33</f>
        <v>9084776454.4500008</v>
      </c>
      <c r="H10" s="1529">
        <f>((G12*H12)+(G16*H16)+(G24*H24)+(G26*H26)+(G33*H33))/G10</f>
        <v>4.7100000000000003E-2</v>
      </c>
      <c r="I10" s="1530">
        <f>(($J$12*I12)+($J$16*I16)+($J$24*I24)+($J$26*I26)+($J$33*I33))/$J10</f>
        <v>6.15</v>
      </c>
      <c r="J10" s="1528">
        <f>J12+J16+J24+J26+J33</f>
        <v>548856782.88999999</v>
      </c>
      <c r="K10" s="1529">
        <f>(($J$12*K12)+($J$16*K16)+($J$24*K24)+($J$26*K26)+($J$33*K33))/$J10</f>
        <v>3.5200000000000002E-2</v>
      </c>
      <c r="L10" s="1530">
        <f>(($J$12*L12)+($J$16*L16)+($J$24*L24)+($J$26*L26)+($J$33*L33))/$J10</f>
        <v>2.2000000000000002</v>
      </c>
      <c r="M10" s="1528">
        <f>M12+M16+M24+M26+M33</f>
        <v>8535919671.5600004</v>
      </c>
      <c r="N10" s="1529">
        <f>((M12*N12)+(M16*N16)+(M24*N24)+(M26*N26)+(M33*N33))/M10</f>
        <v>4.7899999999999998E-2</v>
      </c>
      <c r="O10" s="1530">
        <f>(($M$12*O12)+($M$16*O16)+($M$24*O24)+($M$26*O26)+($M$33*O33))/$M10</f>
        <v>10.35</v>
      </c>
      <c r="P10" s="1528">
        <f>P12+P16+P24+P26+P33</f>
        <v>2910389428.27</v>
      </c>
      <c r="Q10" s="1531">
        <f>((P12*Q12)+(P16*Q16)+(P24*Q24)+(P26*Q26)+(P33*Q33))/P10</f>
        <v>4.9399999999999999E-2</v>
      </c>
      <c r="R10" s="1530">
        <f>(($P$12*R12)+($P$16*R16)+($P$24*R24)+($P$26*R26)+($P$33*R33))/$P10</f>
        <v>10.87</v>
      </c>
      <c r="S10" s="1528">
        <f>S12+S16+S24+S26+S33</f>
        <v>5414285592.8199997</v>
      </c>
      <c r="T10" s="1529">
        <f>((S12*T12)+(S16*T16)+(S24*T24)+(S26*T26)+(S33*T33))/S10</f>
        <v>4.7E-2</v>
      </c>
      <c r="U10" s="1530">
        <f>(($S$12*U12)+($S$16*U16)+($S$24*U24)+($S$26*U26)+($S$33*U33))/$S10</f>
        <v>10.25</v>
      </c>
      <c r="V10" s="1528">
        <f>V12+V16+V24+V26+V33</f>
        <v>197711916.50999999</v>
      </c>
      <c r="W10" s="1529">
        <f>((V12*W12)+(V16*W16)+(V24*W24)+(V26*W26)+(V33*W33))/V10</f>
        <v>5.0799999999999998E-2</v>
      </c>
      <c r="X10" s="1530">
        <f>(($V$12*X12)+($V$16*X16)+($V$24*X24)+($V$26*X26)+($V$33*X33))/$V10</f>
        <v>5.73</v>
      </c>
      <c r="Y10" s="1528">
        <f>Y12+Y16+Y24+Y26+Y33</f>
        <v>13532733.960000001</v>
      </c>
      <c r="Z10" s="1529">
        <f>((Y12*Z12)+(Y16*Z16)+(Y24*Z24)+(Y26*Z26)+(Y33*Z33))/Y10</f>
        <v>4.58E-2</v>
      </c>
      <c r="AA10" s="1530">
        <f>(($Y$12*AA12)+($Y$16*AA16)+($Y$24*AA24)+($Y$26*AA26)+($Y$33*AA33))/$Y10</f>
        <v>7.19</v>
      </c>
      <c r="AB10" s="1528">
        <f>AB12+AB16+AB24+AB26+AB33</f>
        <v>111459363.29000001</v>
      </c>
      <c r="AC10" s="1529">
        <f>((AB12*AC12)+(AB16*AC16)+(AB24*AC24)+(AB26*AC26)+(AB33*AC33))/AB10</f>
        <v>4.1500000000000002E-2</v>
      </c>
      <c r="AD10" s="1530">
        <f>(($AB$12*AD12)+($AB$16*AD16)+($AB$24*AD24)+($AB$26*AD26)+($AB$33*AD33))/$AB10</f>
        <v>3.8</v>
      </c>
      <c r="AE10" s="1528">
        <f>AE12+AE16+AE24+AE26+AE33</f>
        <v>1128798677.9100001</v>
      </c>
      <c r="AF10" s="1529">
        <f>((AE12*AF12)+(AE16*AF16)+(AE24*AF24)+(AE26*AF26)+(AE33*AF33))/AE10</f>
        <v>3.8899999999999997E-2</v>
      </c>
      <c r="AG10" s="1530">
        <f>(($AE$12*AG12)+($AE$16*AG16)+($AE$24*AG24)+($AE$26*AG26)+($AE$33*AG33))/$AE10</f>
        <v>1.01</v>
      </c>
      <c r="AH10" s="1528">
        <f>AH12+AH16+AH24+AH26+AH33</f>
        <v>734544714.95000005</v>
      </c>
      <c r="AI10" s="1529">
        <f>((AH12*AI12)+(AH16*AI16)+(AH24*AI24)+(AH26*AI26)+(AH33*AI33))/AH10</f>
        <v>5.0999999999999997E-2</v>
      </c>
      <c r="AJ10" s="1530">
        <f>(($AH$12*AJ12)+($AH$16*AJ16)+($AH$24*AJ24)+($AH$26*AJ26)+($AH$33*AJ33))/$AH10</f>
        <v>1.21</v>
      </c>
    </row>
    <row r="11" spans="2:36" s="14" customFormat="1" ht="6" customHeight="1" x14ac:dyDescent="0.25">
      <c r="B11" s="1532"/>
      <c r="C11" s="1532"/>
      <c r="D11" s="1533"/>
      <c r="E11" s="1534"/>
      <c r="F11" s="1532"/>
      <c r="G11" s="1532"/>
      <c r="H11" s="1535"/>
      <c r="I11" s="1535"/>
      <c r="J11" s="1532"/>
      <c r="K11" s="1535"/>
      <c r="L11" s="1535"/>
      <c r="M11" s="1532"/>
      <c r="N11" s="1535"/>
      <c r="O11" s="1535"/>
      <c r="P11" s="1535"/>
      <c r="Q11" s="1536"/>
      <c r="R11" s="1535"/>
      <c r="S11" s="1532"/>
      <c r="T11" s="1535"/>
      <c r="U11" s="1535"/>
      <c r="V11" s="1537"/>
      <c r="W11" s="1535"/>
      <c r="X11" s="1535"/>
      <c r="Y11" s="1532"/>
      <c r="Z11" s="1535"/>
      <c r="AA11" s="1535"/>
      <c r="AB11" s="1532"/>
      <c r="AC11" s="1535"/>
      <c r="AD11" s="1535"/>
      <c r="AE11" s="1532"/>
      <c r="AF11" s="1535"/>
      <c r="AG11" s="1535"/>
      <c r="AH11" s="1532"/>
      <c r="AI11" s="1535"/>
      <c r="AJ11" s="1535"/>
    </row>
    <row r="12" spans="2:36" s="147" customFormat="1" ht="31.5" customHeight="1" x14ac:dyDescent="0.25">
      <c r="B12" s="1565" t="s">
        <v>762</v>
      </c>
      <c r="C12" s="1500"/>
      <c r="D12" s="1538">
        <f>SUM(D13:D14)</f>
        <v>6646104389.3699999</v>
      </c>
      <c r="E12" s="1539">
        <f>((D13*E13)+(D14*E14))/D12</f>
        <v>4.58E-2</v>
      </c>
      <c r="F12" s="1500"/>
      <c r="G12" s="1538">
        <f>SUM(G13:G14)</f>
        <v>4784578598.8299999</v>
      </c>
      <c r="H12" s="1540">
        <f>((G13*H13)+(G14*H14))/G12</f>
        <v>4.7E-2</v>
      </c>
      <c r="I12" s="1541">
        <f>((G13*I13)+(G14*I14))/G12</f>
        <v>5.43</v>
      </c>
      <c r="J12" s="1538">
        <f t="shared" ref="J12:S12" si="0">SUM(J13:J14)</f>
        <v>512927528.72000003</v>
      </c>
      <c r="K12" s="1540">
        <f>((J13*K13)+(J14*K14))/J12</f>
        <v>3.49E-2</v>
      </c>
      <c r="L12" s="1541">
        <f>((J13*L13)+(J14*L14))/J12</f>
        <v>1.03</v>
      </c>
      <c r="M12" s="1538">
        <f>SUM(M13:M14)</f>
        <v>4271651070.1100001</v>
      </c>
      <c r="N12" s="1540">
        <f>((M13*N13)+(M14*N14))/M12</f>
        <v>4.8500000000000001E-2</v>
      </c>
      <c r="O12" s="1541">
        <f>((M13*O13)+(M14*O14))/M12</f>
        <v>5.97</v>
      </c>
      <c r="P12" s="1541">
        <f t="shared" si="0"/>
        <v>1517758102.45</v>
      </c>
      <c r="Q12" s="1540">
        <f>((P13*Q13)+(P14*Q14))/P12</f>
        <v>5.0299999999999997E-2</v>
      </c>
      <c r="R12" s="1541">
        <f>((P13*R13)+(P14*R14))/P12</f>
        <v>6.37</v>
      </c>
      <c r="S12" s="1538">
        <f t="shared" si="0"/>
        <v>2635470165.5999999</v>
      </c>
      <c r="T12" s="1540">
        <f>((S13*T13)+(S14*T14))/S12</f>
        <v>4.7399999999999998E-2</v>
      </c>
      <c r="U12" s="1541">
        <f>((S13*U13)+(S14*U14))/S12</f>
        <v>5.71</v>
      </c>
      <c r="V12" s="1538">
        <f>SUM(V13:V14)</f>
        <v>108019303.34999999</v>
      </c>
      <c r="W12" s="1540">
        <f>((V13*W13)+(V14*W14))/V12</f>
        <v>4.9599999999999998E-2</v>
      </c>
      <c r="X12" s="1541">
        <f>((V13*X13)+(V14*X14))/V12</f>
        <v>6.34</v>
      </c>
      <c r="Y12" s="1538">
        <f>SUM(Y13:Y14)</f>
        <v>10403498.710000001</v>
      </c>
      <c r="Z12" s="1540">
        <f>((Y13*Z13)+(Y14*Z14))/Y12</f>
        <v>4.8000000000000001E-2</v>
      </c>
      <c r="AA12" s="1541">
        <f>((Y13*AA13)+(Y14*AA14))/Y12</f>
        <v>6.46</v>
      </c>
      <c r="AB12" s="1538">
        <f>SUM(AB13:AB14)</f>
        <v>81801953.790000007</v>
      </c>
      <c r="AC12" s="1540">
        <f>((AB13*AC13)+(AB14*AC14))/AB12</f>
        <v>3.3500000000000002E-2</v>
      </c>
      <c r="AD12" s="1541">
        <f>((AB13*AD13)+(AB14*AD14))/AB12</f>
        <v>1.1000000000000001</v>
      </c>
      <c r="AE12" s="1538">
        <f t="shared" ref="AE12:AH12" si="1">SUM(AE13:AE14)</f>
        <v>1076875138.8</v>
      </c>
      <c r="AF12" s="1540">
        <f>((AE13*AF13)+(AE14*AF14))/AE12</f>
        <v>3.7999999999999999E-2</v>
      </c>
      <c r="AG12" s="1541">
        <f>((AE13*AG13)+(AE14*AG14))/AE12</f>
        <v>1.02</v>
      </c>
      <c r="AH12" s="1538">
        <f t="shared" si="1"/>
        <v>702848697.95000005</v>
      </c>
      <c r="AI12" s="1540">
        <f>((AH13*AI13)+(AH14*AI14))/AH12</f>
        <v>5.0599999999999999E-2</v>
      </c>
      <c r="AJ12" s="1541">
        <f>((AH13*AJ13)+(AH14*AJ14))/AH12</f>
        <v>1.2</v>
      </c>
    </row>
    <row r="13" spans="2:36" s="1475" customFormat="1" ht="18" customHeight="1" x14ac:dyDescent="0.25">
      <c r="B13" s="1476" t="s">
        <v>743</v>
      </c>
      <c r="C13" s="1500"/>
      <c r="D13" s="1506">
        <f>G13+AB13+AE13+AH13</f>
        <v>3805241890.71</v>
      </c>
      <c r="E13" s="1523">
        <f>((G13*H13)+(AB13*AC13)+(AE13*AF13)+(AH13*AI13))/D13</f>
        <v>4.2999999999999997E-2</v>
      </c>
      <c r="F13" s="1500"/>
      <c r="G13" s="1506">
        <f>J13+M13</f>
        <v>2487388357.3600001</v>
      </c>
      <c r="H13" s="1479">
        <f>((J13*K13)+(M13*N13))/G13</f>
        <v>4.3299999999999998E-2</v>
      </c>
      <c r="I13" s="1506">
        <f>((J13*L13)+(M13*O13))/G13</f>
        <v>4.28</v>
      </c>
      <c r="J13" s="1506">
        <v>437755095.89999998</v>
      </c>
      <c r="K13" s="1479">
        <v>3.2500000000000001E-2</v>
      </c>
      <c r="L13" s="1506">
        <v>0.14000000000000001</v>
      </c>
      <c r="M13" s="1506">
        <f>P13+S13+V13+Y13</f>
        <v>2049633261.46</v>
      </c>
      <c r="N13" s="1479">
        <f>((P13*Q13)+(S13*T13)+(V13*W13)+(Y13*Z13))/M13</f>
        <v>4.5600000000000002E-2</v>
      </c>
      <c r="O13" s="1506">
        <f>((P13*R13)+(S13*U13)+(V13*X13)+(Y13*AA13))/M13</f>
        <v>5.17</v>
      </c>
      <c r="P13" s="1506">
        <v>564231757.36000001</v>
      </c>
      <c r="Q13" s="1479">
        <v>4.6199999999999998E-2</v>
      </c>
      <c r="R13" s="1542">
        <v>6.92</v>
      </c>
      <c r="S13" s="1506">
        <v>1434753407.8699999</v>
      </c>
      <c r="T13" s="1479">
        <v>4.5499999999999999E-2</v>
      </c>
      <c r="U13" s="1506">
        <v>4.4000000000000004</v>
      </c>
      <c r="V13" s="1506">
        <v>46772375.689999998</v>
      </c>
      <c r="W13" s="1479">
        <v>4.3799999999999999E-2</v>
      </c>
      <c r="X13" s="1506">
        <v>7.59</v>
      </c>
      <c r="Y13" s="1506">
        <v>3875720.54</v>
      </c>
      <c r="Z13" s="1479">
        <v>3.8899999999999997E-2</v>
      </c>
      <c r="AA13" s="1506">
        <v>5.86</v>
      </c>
      <c r="AB13" s="1506">
        <v>50994044.32</v>
      </c>
      <c r="AC13" s="1479">
        <v>3.1099999999999999E-2</v>
      </c>
      <c r="AD13" s="1506">
        <v>1.5</v>
      </c>
      <c r="AE13" s="1506">
        <v>617566092.32000005</v>
      </c>
      <c r="AF13" s="1479">
        <v>3.5099999999999999E-2</v>
      </c>
      <c r="AG13" s="1506">
        <v>0.5</v>
      </c>
      <c r="AH13" s="1506">
        <f>+[7]ADMINISTRACIÓN!$I$11</f>
        <v>649293396.71000004</v>
      </c>
      <c r="AI13" s="1479">
        <v>5.04E-2</v>
      </c>
      <c r="AJ13" s="1506">
        <v>1.23</v>
      </c>
    </row>
    <row r="14" spans="2:36" s="1475" customFormat="1" ht="18" customHeight="1" x14ac:dyDescent="0.25">
      <c r="B14" s="1476" t="s">
        <v>744</v>
      </c>
      <c r="C14" s="1500"/>
      <c r="D14" s="1506">
        <f>G14+AB14+AE14+AH14</f>
        <v>2840862498.6599998</v>
      </c>
      <c r="E14" s="1523">
        <f>((G14*H14)+(AB14*AC14)+(AE14*AF14)+(AH14*AI14))/D14</f>
        <v>4.9500000000000002E-2</v>
      </c>
      <c r="F14" s="1500"/>
      <c r="G14" s="1506">
        <f>J14+M14</f>
        <v>2297190241.4699998</v>
      </c>
      <c r="H14" s="1479">
        <f>((J14*K14)+(M14*N14))/G14</f>
        <v>5.11E-2</v>
      </c>
      <c r="I14" s="1506">
        <f>((J14*L14)+(M14*O14))/G14</f>
        <v>6.68</v>
      </c>
      <c r="J14" s="1506">
        <v>75172432.819999993</v>
      </c>
      <c r="K14" s="1479">
        <v>4.9000000000000002E-2</v>
      </c>
      <c r="L14" s="1506">
        <v>6.18</v>
      </c>
      <c r="M14" s="1506">
        <f>P14+S14+V14+Y14</f>
        <v>2222017808.6500001</v>
      </c>
      <c r="N14" s="1479">
        <f>((P14*Q14)+(S14*T14)+(V14*W14)+(Y14*Z14))/M14</f>
        <v>5.1200000000000002E-2</v>
      </c>
      <c r="O14" s="1506">
        <f>((P14*R14)+(S14*U14)+(V14*X14)+(Y14*AA14))/M14</f>
        <v>6.7</v>
      </c>
      <c r="P14" s="1506">
        <v>953526345.09000003</v>
      </c>
      <c r="Q14" s="1479">
        <v>5.28E-2</v>
      </c>
      <c r="R14" s="1542">
        <v>6.05</v>
      </c>
      <c r="S14" s="1506">
        <v>1200716757.73</v>
      </c>
      <c r="T14" s="1479">
        <v>4.9700000000000001E-2</v>
      </c>
      <c r="U14" s="1506">
        <v>7.28</v>
      </c>
      <c r="V14" s="1506">
        <v>61246927.659999996</v>
      </c>
      <c r="W14" s="1479">
        <v>5.4100000000000002E-2</v>
      </c>
      <c r="X14" s="1506">
        <v>5.39</v>
      </c>
      <c r="Y14" s="1506">
        <v>6527778.1699999999</v>
      </c>
      <c r="Z14" s="1479">
        <v>5.3400000000000003E-2</v>
      </c>
      <c r="AA14" s="1506">
        <v>6.82</v>
      </c>
      <c r="AB14" s="1506">
        <v>30807909.469999999</v>
      </c>
      <c r="AC14" s="1479">
        <v>3.7600000000000001E-2</v>
      </c>
      <c r="AD14" s="1506">
        <v>0.45</v>
      </c>
      <c r="AE14" s="1506">
        <v>459309046.48000002</v>
      </c>
      <c r="AF14" s="1479">
        <v>4.1799999999999997E-2</v>
      </c>
      <c r="AG14" s="1506">
        <v>1.71</v>
      </c>
      <c r="AH14" s="1543">
        <v>53555301.240000002</v>
      </c>
      <c r="AI14" s="1480">
        <v>5.2600000000000001E-2</v>
      </c>
      <c r="AJ14" s="1506">
        <v>0.84</v>
      </c>
    </row>
    <row r="15" spans="2:36" s="151" customFormat="1" ht="6" customHeight="1" x14ac:dyDescent="0.25">
      <c r="B15" s="1476"/>
      <c r="C15" s="1511"/>
      <c r="D15" s="1504"/>
      <c r="E15" s="1507"/>
      <c r="F15" s="1511"/>
      <c r="G15" s="1506"/>
      <c r="H15" s="1479"/>
      <c r="I15" s="1479"/>
      <c r="J15" s="1506"/>
      <c r="K15" s="1479"/>
      <c r="L15" s="1479"/>
      <c r="M15" s="1506"/>
      <c r="N15" s="1479"/>
      <c r="O15" s="1479"/>
      <c r="P15" s="1479"/>
      <c r="Q15" s="1479"/>
      <c r="R15" s="1480"/>
      <c r="S15" s="1506"/>
      <c r="T15" s="1479"/>
      <c r="U15" s="1479"/>
      <c r="V15" s="1506"/>
      <c r="W15" s="1479"/>
      <c r="X15" s="1479"/>
      <c r="Y15" s="1506"/>
      <c r="Z15" s="1479"/>
      <c r="AA15" s="1479"/>
      <c r="AB15" s="1506"/>
      <c r="AC15" s="1479"/>
      <c r="AD15" s="1479"/>
      <c r="AE15" s="1506"/>
      <c r="AF15" s="1479"/>
      <c r="AG15" s="1479"/>
      <c r="AH15" s="1506"/>
      <c r="AI15" s="1479"/>
      <c r="AJ15" s="1479"/>
    </row>
    <row r="16" spans="2:36" s="147" customFormat="1" ht="18" customHeight="1" x14ac:dyDescent="0.25">
      <c r="B16" s="1502" t="s">
        <v>745</v>
      </c>
      <c r="C16" s="1500"/>
      <c r="D16" s="1544">
        <f>SUM(D17:D22)</f>
        <v>3552468690.1900001</v>
      </c>
      <c r="E16" s="1545">
        <f>((D17*E17)+(D18*E18)+(D19*E19)+(D20*E20)+(D21*E21)+(D22*E22))/D16</f>
        <v>4.7600000000000003E-2</v>
      </c>
      <c r="F16" s="1500"/>
      <c r="G16" s="1544">
        <f>SUM(G17:G22)</f>
        <v>3522811280.6900001</v>
      </c>
      <c r="H16" s="1546">
        <f>((G17*H17)+(G18*H18)+(G19*H19)+(G20*H20)+(G21*H21)+(G22*H22))/G16</f>
        <v>4.7399999999999998E-2</v>
      </c>
      <c r="I16" s="1547">
        <f>((G17*I17)+(G18*I18+G19*I19+G20*I20+G21*I21+G22*I22))/G16</f>
        <v>16.43</v>
      </c>
      <c r="J16" s="1544">
        <f>SUM(J17:J22)</f>
        <v>35929254.170000002</v>
      </c>
      <c r="K16" s="1546">
        <f>(($J$17*K17)+($J$18*K18)+($J$19*K19)+($J$20*K20)+($J$21*K21)+($J$22*K22))/$J16</f>
        <v>4.0099999999999997E-2</v>
      </c>
      <c r="L16" s="1548">
        <f>(($J$17*L17)+($J$18*L18)+($J$19*L19)+($J$20*L20)+($J$21*L21)+($J$22*L22))/$J16</f>
        <v>18.850000000000001</v>
      </c>
      <c r="M16" s="1544">
        <f>SUM(M17:M22)</f>
        <v>3486882026.52</v>
      </c>
      <c r="N16" s="1546">
        <f>((M17*N17)+(M18*N18)+(M19*N19)+(M20*N20)+(M21*N21)+(M22*N22))/M16</f>
        <v>4.7500000000000001E-2</v>
      </c>
      <c r="O16" s="1548">
        <f>(($M$17*O17)+($M$18*O18)+($M$19*O19)+($M$20*O20)+($M$21*O21)+($M$22*O22))/$M16</f>
        <v>16.41</v>
      </c>
      <c r="P16" s="1548">
        <f>SUM(P17:P22)</f>
        <v>1125743427.7</v>
      </c>
      <c r="Q16" s="1546">
        <f>((P17*Q17)+(P18*Q18)+(P19*Q19)+(P20*Q20)+(P21*Q21)+(P22*Q22))/P16</f>
        <v>4.9399999999999999E-2</v>
      </c>
      <c r="R16" s="1548">
        <f>(($P$17*R17)+($P$18*R18)+($P$19*R19)+($P$20*R20)+($P$21*R21)+($P$22*R22))/$P16</f>
        <v>17.73</v>
      </c>
      <c r="S16" s="1544">
        <f>SUM(S17:S22)</f>
        <v>2322973397.8600001</v>
      </c>
      <c r="T16" s="1546">
        <f>((S17*T17)+(S18*T18)+(S19*T19)+(S20*T20)+(S21*T21)+(S22*T22))/S16</f>
        <v>4.6800000000000001E-2</v>
      </c>
      <c r="U16" s="1548">
        <f>(($S$17*U17)+($S$18*U18)+($S$19*U19)+($S$20*U20)+($S$21*U21)+($S$22*U22))/$S16</f>
        <v>15.87</v>
      </c>
      <c r="V16" s="1544">
        <f>SUM(V17:V22)</f>
        <v>35428881.030000001</v>
      </c>
      <c r="W16" s="1546">
        <f>((V17*W17)+(V18*W18)+(V19*W19)+(V20*W20)+(V21*W21)+(V22*W22))/V16</f>
        <v>3.4799999999999998E-2</v>
      </c>
      <c r="X16" s="1548">
        <f>(($V$17*X17)+($V$18*X18)+($V$19*X19)+($V$20*X20)+($V$21*X21)+($V$22*X22))/$V16</f>
        <v>10.18</v>
      </c>
      <c r="Y16" s="1544">
        <f>SUM(Y17:Y22)</f>
        <v>2736319.93</v>
      </c>
      <c r="Z16" s="1546">
        <f>((Y17*Z17)+(Y18*Z18)+(Y19*Z19)+(Y20*Z20)+(Y21*Z21)+(Y22*Z22))/Y16</f>
        <v>3.5999999999999997E-2</v>
      </c>
      <c r="AA16" s="1548">
        <f>(($Y$17*AA17)+($Y$18*AA18)+($Y$19*AA19)+($Y$20*AA20)+($Y$21*AA21)+($Y$22*AA22))/$Y16</f>
        <v>10.87</v>
      </c>
      <c r="AB16" s="1544">
        <f>SUM(AB17:AB22)</f>
        <v>29657409.5</v>
      </c>
      <c r="AC16" s="1546">
        <f>(((AB17*AC17)+(AB18*AC18)+(AB19*AC19)+(AB20*AC20)+(AB21*AC21)+(AB22*AC22))/AB16)</f>
        <v>6.3700000000000007E-2</v>
      </c>
      <c r="AD16" s="1548">
        <f>(($AB$17*AD17)+($AB$18*AD18)+($AB$19*AD19)+($AB$20*AD20)+($AB$21*AD21)+($AB$22*AD22))/$AB16</f>
        <v>11.25</v>
      </c>
      <c r="AE16" s="1544">
        <f>SUM(AE17:AE22)</f>
        <v>0</v>
      </c>
      <c r="AF16" s="1546">
        <v>0</v>
      </c>
      <c r="AG16" s="1548">
        <v>0</v>
      </c>
      <c r="AH16" s="1544">
        <f>SUM(AH17:AH22)</f>
        <v>0</v>
      </c>
      <c r="AI16" s="1546">
        <v>0</v>
      </c>
      <c r="AJ16" s="1548">
        <v>0</v>
      </c>
    </row>
    <row r="17" spans="2:36" s="147" customFormat="1" ht="18" customHeight="1" x14ac:dyDescent="0.25">
      <c r="B17" s="1476" t="s">
        <v>746</v>
      </c>
      <c r="C17" s="1500"/>
      <c r="D17" s="1506">
        <f>G17+AB17+AE17+AH17</f>
        <v>26359200</v>
      </c>
      <c r="E17" s="1523">
        <f t="shared" ref="E17:E24" si="2">((G17*H17)+(AB17*AC17)+(AE17*AF17)+(AH17*AI17))/D17</f>
        <v>6.54E-2</v>
      </c>
      <c r="F17" s="1511"/>
      <c r="G17" s="1506">
        <f>J17+M17</f>
        <v>26359200</v>
      </c>
      <c r="H17" s="1479">
        <f>((J17*K17)+(M17*N17))/G17</f>
        <v>6.54E-2</v>
      </c>
      <c r="I17" s="1506">
        <f t="shared" ref="I17:I22" si="3">((J17*L17)+(M17*O17))/G17</f>
        <v>0.79</v>
      </c>
      <c r="J17" s="1506">
        <v>0</v>
      </c>
      <c r="K17" s="1479">
        <v>0</v>
      </c>
      <c r="L17" s="1506">
        <v>0</v>
      </c>
      <c r="M17" s="1506">
        <f t="shared" ref="M17:M22" si="4">P17+S17+V17+Y17</f>
        <v>26359200</v>
      </c>
      <c r="N17" s="1479">
        <f t="shared" ref="N17:N22" si="5">((P17*Q17)+(S17*T17)+(V17*W17)+(Y17*Z17))/M17</f>
        <v>6.54E-2</v>
      </c>
      <c r="O17" s="1506">
        <f>((P17*R17)+(S17*U17)+(V17*X17)+(Y17*AA17))/M17</f>
        <v>0.79</v>
      </c>
      <c r="P17" s="1506">
        <v>0</v>
      </c>
      <c r="Q17" s="1479">
        <v>0</v>
      </c>
      <c r="R17" s="1542">
        <v>0</v>
      </c>
      <c r="S17" s="1506">
        <v>26359200</v>
      </c>
      <c r="T17" s="1479">
        <v>6.54E-2</v>
      </c>
      <c r="U17" s="1506">
        <v>0.79</v>
      </c>
      <c r="V17" s="1506">
        <v>0</v>
      </c>
      <c r="W17" s="1479">
        <v>0</v>
      </c>
      <c r="X17" s="1506">
        <v>0</v>
      </c>
      <c r="Y17" s="1506">
        <v>0</v>
      </c>
      <c r="Z17" s="1479">
        <v>0</v>
      </c>
      <c r="AA17" s="1506">
        <v>0</v>
      </c>
      <c r="AB17" s="1506">
        <v>0</v>
      </c>
      <c r="AC17" s="1479">
        <v>0</v>
      </c>
      <c r="AD17" s="1506">
        <v>0</v>
      </c>
      <c r="AE17" s="1506">
        <v>0</v>
      </c>
      <c r="AF17" s="1479">
        <v>0</v>
      </c>
      <c r="AG17" s="1506">
        <v>0</v>
      </c>
      <c r="AH17" s="1506">
        <v>0</v>
      </c>
      <c r="AI17" s="1479">
        <v>0</v>
      </c>
      <c r="AJ17" s="1506">
        <v>0</v>
      </c>
    </row>
    <row r="18" spans="2:36" s="1475" customFormat="1" ht="18" customHeight="1" x14ac:dyDescent="0.25">
      <c r="B18" s="1476" t="s">
        <v>747</v>
      </c>
      <c r="C18" s="1477"/>
      <c r="D18" s="1506">
        <f t="shared" ref="D18:D24" si="6">G18+AB18+AE18+AH18</f>
        <v>1151219870</v>
      </c>
      <c r="E18" s="1523">
        <f t="shared" si="2"/>
        <v>4.1700000000000001E-2</v>
      </c>
      <c r="F18" s="1477"/>
      <c r="G18" s="1506">
        <f t="shared" ref="G18:G19" si="7">J18+M18</f>
        <v>1151219870</v>
      </c>
      <c r="H18" s="1479">
        <f>((J18*K18)+(M18*N18))/G18</f>
        <v>4.1700000000000001E-2</v>
      </c>
      <c r="I18" s="1506">
        <f t="shared" si="3"/>
        <v>7.85</v>
      </c>
      <c r="J18" s="1506">
        <v>0</v>
      </c>
      <c r="K18" s="1479">
        <v>0</v>
      </c>
      <c r="L18" s="1506">
        <v>0</v>
      </c>
      <c r="M18" s="1506">
        <f t="shared" si="4"/>
        <v>1151219870</v>
      </c>
      <c r="N18" s="1479">
        <f t="shared" si="5"/>
        <v>4.1700000000000001E-2</v>
      </c>
      <c r="O18" s="1506">
        <f t="shared" ref="O18:O24" si="8">((P18*R18)+(S18*U18)+(V18*X18)+(Y18*AA18))/M18</f>
        <v>7.85</v>
      </c>
      <c r="P18" s="1506">
        <v>382714589.25</v>
      </c>
      <c r="Q18" s="1479">
        <v>4.3900000000000002E-2</v>
      </c>
      <c r="R18" s="1542">
        <v>8.4</v>
      </c>
      <c r="S18" s="1506">
        <v>754511280.75</v>
      </c>
      <c r="T18" s="1479">
        <v>4.0800000000000003E-2</v>
      </c>
      <c r="U18" s="1506">
        <v>7.59</v>
      </c>
      <c r="V18" s="1506">
        <v>12386286.890000001</v>
      </c>
      <c r="W18" s="1479">
        <v>3.3599999999999998E-2</v>
      </c>
      <c r="X18" s="1506">
        <v>6.92</v>
      </c>
      <c r="Y18" s="1506">
        <v>1607713.11</v>
      </c>
      <c r="Z18" s="1479">
        <v>3.3599999999999998E-2</v>
      </c>
      <c r="AA18" s="1506">
        <v>6.92</v>
      </c>
      <c r="AB18" s="1506">
        <v>0</v>
      </c>
      <c r="AC18" s="1479">
        <v>0</v>
      </c>
      <c r="AD18" s="1506">
        <v>0</v>
      </c>
      <c r="AE18" s="1506">
        <v>0</v>
      </c>
      <c r="AF18" s="1479">
        <v>0</v>
      </c>
      <c r="AG18" s="1506">
        <v>0</v>
      </c>
      <c r="AH18" s="1506">
        <v>0</v>
      </c>
      <c r="AI18" s="1479">
        <v>0</v>
      </c>
      <c r="AJ18" s="1506">
        <v>0</v>
      </c>
    </row>
    <row r="19" spans="2:36" s="1475" customFormat="1" ht="18" customHeight="1" x14ac:dyDescent="0.25">
      <c r="B19" s="1476" t="s">
        <v>748</v>
      </c>
      <c r="C19" s="1477"/>
      <c r="D19" s="1506">
        <f t="shared" si="6"/>
        <v>119447893.59999999</v>
      </c>
      <c r="E19" s="1523">
        <f t="shared" si="2"/>
        <v>3.6799999999999999E-2</v>
      </c>
      <c r="F19" s="1477"/>
      <c r="G19" s="1506">
        <f t="shared" si="7"/>
        <v>119447893.59999999</v>
      </c>
      <c r="H19" s="1479">
        <f t="shared" ref="H19:H22" si="9">((J19*K19)+(M19*N19))/G19</f>
        <v>3.6799999999999999E-2</v>
      </c>
      <c r="I19" s="1506">
        <f t="shared" si="3"/>
        <v>1.81</v>
      </c>
      <c r="J19" s="1506">
        <v>0</v>
      </c>
      <c r="K19" s="1479">
        <v>0</v>
      </c>
      <c r="L19" s="1506">
        <v>0</v>
      </c>
      <c r="M19" s="1506">
        <f t="shared" si="4"/>
        <v>119447893.59999999</v>
      </c>
      <c r="N19" s="1479">
        <f t="shared" si="5"/>
        <v>3.6799999999999999E-2</v>
      </c>
      <c r="O19" s="1506">
        <f t="shared" si="8"/>
        <v>1.81</v>
      </c>
      <c r="P19" s="1506">
        <v>40071821.729999997</v>
      </c>
      <c r="Q19" s="1479">
        <v>3.7600000000000001E-2</v>
      </c>
      <c r="R19" s="1542">
        <v>1.71</v>
      </c>
      <c r="S19" s="1506">
        <v>69510549.359999999</v>
      </c>
      <c r="T19" s="1479">
        <v>3.7600000000000001E-2</v>
      </c>
      <c r="U19" s="1506">
        <v>1.71</v>
      </c>
      <c r="V19" s="1506">
        <v>9626529.6600000001</v>
      </c>
      <c r="W19" s="1479">
        <v>2.7900000000000001E-2</v>
      </c>
      <c r="X19" s="1506">
        <v>2.88</v>
      </c>
      <c r="Y19" s="1506">
        <v>238992.85</v>
      </c>
      <c r="Z19" s="1479">
        <v>2.81E-2</v>
      </c>
      <c r="AA19" s="1506">
        <v>2.85</v>
      </c>
      <c r="AB19" s="1506">
        <v>0</v>
      </c>
      <c r="AC19" s="1479">
        <v>0</v>
      </c>
      <c r="AD19" s="1506">
        <v>0</v>
      </c>
      <c r="AE19" s="1506">
        <v>0</v>
      </c>
      <c r="AF19" s="1479">
        <v>0</v>
      </c>
      <c r="AG19" s="1506">
        <v>0</v>
      </c>
      <c r="AH19" s="1506">
        <v>0</v>
      </c>
      <c r="AI19" s="1479">
        <v>0</v>
      </c>
      <c r="AJ19" s="1506">
        <v>0</v>
      </c>
    </row>
    <row r="20" spans="2:36" s="1475" customFormat="1" ht="18" customHeight="1" x14ac:dyDescent="0.25">
      <c r="B20" s="1476" t="s">
        <v>749</v>
      </c>
      <c r="C20" s="1477"/>
      <c r="D20" s="1506">
        <f t="shared" si="6"/>
        <v>1849705726.5899999</v>
      </c>
      <c r="E20" s="1523">
        <f t="shared" si="2"/>
        <v>5.4899999999999997E-2</v>
      </c>
      <c r="F20" s="1477"/>
      <c r="G20" s="1506">
        <f>J20+M20</f>
        <v>1820048317.0899999</v>
      </c>
      <c r="H20" s="1479">
        <f t="shared" si="9"/>
        <v>5.4800000000000001E-2</v>
      </c>
      <c r="I20" s="1506">
        <f t="shared" si="3"/>
        <v>25.34</v>
      </c>
      <c r="J20" s="1506">
        <v>23974008.25</v>
      </c>
      <c r="K20" s="1479">
        <f>Hoja9!I15</f>
        <v>4.5199999999999997E-2</v>
      </c>
      <c r="L20" s="1508">
        <v>25.71</v>
      </c>
      <c r="M20" s="1506">
        <f>P20+S20+V20+Y20</f>
        <v>1796074308.8399999</v>
      </c>
      <c r="N20" s="1479">
        <f t="shared" si="5"/>
        <v>5.4899999999999997E-2</v>
      </c>
      <c r="O20" s="1506">
        <f t="shared" si="8"/>
        <v>25.34</v>
      </c>
      <c r="P20" s="1508">
        <v>577494161.02999997</v>
      </c>
      <c r="Q20" s="1479">
        <v>5.7299999999999997E-2</v>
      </c>
      <c r="R20" s="1549">
        <v>27.41</v>
      </c>
      <c r="S20" s="1506">
        <v>1208217747.45</v>
      </c>
      <c r="T20" s="1479">
        <v>5.3900000000000003E-2</v>
      </c>
      <c r="U20" s="1508">
        <v>24.37</v>
      </c>
      <c r="V20" s="1506">
        <v>9648187.2400000002</v>
      </c>
      <c r="W20" s="1479">
        <v>4.5100000000000001E-2</v>
      </c>
      <c r="X20" s="1508">
        <v>23.62</v>
      </c>
      <c r="Y20" s="1506">
        <v>714213.12</v>
      </c>
      <c r="Z20" s="1479">
        <v>4.5499999999999999E-2</v>
      </c>
      <c r="AA20" s="1508">
        <v>23.88</v>
      </c>
      <c r="AB20" s="1506">
        <v>29657409.5</v>
      </c>
      <c r="AC20" s="1479">
        <v>6.3700000000000007E-2</v>
      </c>
      <c r="AD20" s="1508">
        <v>11.25</v>
      </c>
      <c r="AE20" s="1506">
        <v>0</v>
      </c>
      <c r="AF20" s="1479">
        <v>0</v>
      </c>
      <c r="AG20" s="1508">
        <v>0</v>
      </c>
      <c r="AH20" s="1506">
        <v>0</v>
      </c>
      <c r="AI20" s="1479">
        <v>0</v>
      </c>
      <c r="AJ20" s="1508">
        <v>0</v>
      </c>
    </row>
    <row r="21" spans="2:36" s="1475" customFormat="1" ht="18" customHeight="1" x14ac:dyDescent="0.25">
      <c r="B21" s="1476" t="s">
        <v>750</v>
      </c>
      <c r="C21" s="1477"/>
      <c r="D21" s="1506">
        <f t="shared" si="6"/>
        <v>205736000</v>
      </c>
      <c r="E21" s="1523">
        <f t="shared" si="2"/>
        <v>0.03</v>
      </c>
      <c r="F21" s="1477"/>
      <c r="G21" s="1506">
        <f t="shared" ref="G21:G22" si="10">J21+M21</f>
        <v>205736000</v>
      </c>
      <c r="H21" s="1479">
        <f t="shared" si="9"/>
        <v>0.03</v>
      </c>
      <c r="I21" s="1506">
        <f t="shared" si="3"/>
        <v>5.39</v>
      </c>
      <c r="J21" s="1506">
        <v>11955245.92</v>
      </c>
      <c r="K21" s="1479">
        <v>0.03</v>
      </c>
      <c r="L21" s="1508">
        <v>5.09</v>
      </c>
      <c r="M21" s="1506">
        <f t="shared" si="4"/>
        <v>193780754.08000001</v>
      </c>
      <c r="N21" s="1479">
        <f t="shared" si="5"/>
        <v>0.03</v>
      </c>
      <c r="O21" s="1506">
        <f t="shared" si="8"/>
        <v>5.41</v>
      </c>
      <c r="P21" s="1508">
        <f>Hoja10!F94</f>
        <v>43962855.689999998</v>
      </c>
      <c r="Q21" s="1479">
        <f>Hoja10!I94</f>
        <v>0.03</v>
      </c>
      <c r="R21" s="1549">
        <v>6.52</v>
      </c>
      <c r="S21" s="1506">
        <f>Hoja10!F219</f>
        <v>145874620.30000001</v>
      </c>
      <c r="T21" s="1479">
        <v>0.03</v>
      </c>
      <c r="U21" s="1508">
        <v>5.09</v>
      </c>
      <c r="V21" s="1506">
        <v>3767877.24</v>
      </c>
      <c r="W21" s="1479">
        <v>0.03</v>
      </c>
      <c r="X21" s="1508">
        <v>5.09</v>
      </c>
      <c r="Y21" s="1506">
        <v>175400.85</v>
      </c>
      <c r="Z21" s="1479">
        <v>0.03</v>
      </c>
      <c r="AA21" s="1508">
        <v>5.09</v>
      </c>
      <c r="AB21" s="1506">
        <v>0</v>
      </c>
      <c r="AC21" s="1479">
        <v>0</v>
      </c>
      <c r="AD21" s="1508">
        <v>0</v>
      </c>
      <c r="AE21" s="1506">
        <v>0</v>
      </c>
      <c r="AF21" s="1479">
        <v>0</v>
      </c>
      <c r="AG21" s="1508">
        <v>0</v>
      </c>
      <c r="AH21" s="1506">
        <v>0</v>
      </c>
      <c r="AI21" s="1479">
        <v>0</v>
      </c>
      <c r="AJ21" s="1508">
        <v>0</v>
      </c>
    </row>
    <row r="22" spans="2:36" s="1475" customFormat="1" ht="18" customHeight="1" x14ac:dyDescent="0.25">
      <c r="B22" s="1476" t="s">
        <v>751</v>
      </c>
      <c r="C22" s="1477"/>
      <c r="D22" s="1506">
        <f t="shared" si="6"/>
        <v>200000000</v>
      </c>
      <c r="E22" s="1523">
        <f t="shared" si="2"/>
        <v>3.5499999999999997E-2</v>
      </c>
      <c r="F22" s="1477"/>
      <c r="G22" s="1506">
        <f t="shared" si="10"/>
        <v>200000000</v>
      </c>
      <c r="H22" s="1479">
        <f t="shared" si="9"/>
        <v>3.5499999999999997E-2</v>
      </c>
      <c r="I22" s="1506">
        <f t="shared" si="3"/>
        <v>6.89</v>
      </c>
      <c r="J22" s="1506">
        <v>0</v>
      </c>
      <c r="K22" s="1479">
        <v>0</v>
      </c>
      <c r="L22" s="1506">
        <v>0</v>
      </c>
      <c r="M22" s="1506">
        <f t="shared" si="4"/>
        <v>200000000</v>
      </c>
      <c r="N22" s="1479">
        <f t="shared" si="5"/>
        <v>3.5499999999999997E-2</v>
      </c>
      <c r="O22" s="1506">
        <f t="shared" si="8"/>
        <v>6.89</v>
      </c>
      <c r="P22" s="1506">
        <f>Hoja10!F95+Hoja10!F96</f>
        <v>81500000</v>
      </c>
      <c r="Q22" s="1479">
        <f>Hoja10!I97</f>
        <v>3.5499999999999997E-2</v>
      </c>
      <c r="R22" s="1542">
        <v>6.9</v>
      </c>
      <c r="S22" s="1506">
        <f>SUM(Hoja10!F220:F223)</f>
        <v>118500000</v>
      </c>
      <c r="T22" s="1479">
        <f>Hoja10!I224</f>
        <v>3.5499999999999997E-2</v>
      </c>
      <c r="U22" s="1506">
        <v>6.88</v>
      </c>
      <c r="V22" s="1506">
        <v>0</v>
      </c>
      <c r="W22" s="1479">
        <v>0</v>
      </c>
      <c r="X22" s="1506">
        <v>0</v>
      </c>
      <c r="Y22" s="1506">
        <v>0</v>
      </c>
      <c r="Z22" s="1479">
        <v>0</v>
      </c>
      <c r="AA22" s="1506">
        <v>0</v>
      </c>
      <c r="AB22" s="1506">
        <v>0</v>
      </c>
      <c r="AC22" s="1479">
        <v>0</v>
      </c>
      <c r="AD22" s="1506">
        <v>0</v>
      </c>
      <c r="AE22" s="1506">
        <v>0</v>
      </c>
      <c r="AF22" s="1479">
        <v>0</v>
      </c>
      <c r="AG22" s="1506">
        <v>0</v>
      </c>
      <c r="AH22" s="1506">
        <v>0</v>
      </c>
      <c r="AI22" s="1479">
        <v>0</v>
      </c>
      <c r="AJ22" s="1506">
        <v>0</v>
      </c>
    </row>
    <row r="23" spans="2:36" s="1475" customFormat="1" ht="6" customHeight="1" x14ac:dyDescent="0.25">
      <c r="B23" s="1504"/>
      <c r="C23" s="1477"/>
      <c r="D23" s="1504"/>
      <c r="E23" s="1505"/>
      <c r="F23" s="1477"/>
      <c r="G23" s="1506"/>
      <c r="H23" s="1479"/>
      <c r="I23" s="1479"/>
      <c r="J23" s="1506"/>
      <c r="K23" s="1479"/>
      <c r="L23" s="1479"/>
      <c r="M23" s="1506"/>
      <c r="N23" s="1479"/>
      <c r="O23" s="1479"/>
      <c r="P23" s="1479"/>
      <c r="Q23" s="1479"/>
      <c r="R23" s="1480"/>
      <c r="S23" s="1506"/>
      <c r="T23" s="1479"/>
      <c r="U23" s="1479"/>
      <c r="V23" s="1506"/>
      <c r="W23" s="1479"/>
      <c r="X23" s="1479"/>
      <c r="Y23" s="1506"/>
      <c r="Z23" s="1479"/>
      <c r="AA23" s="1479"/>
      <c r="AB23" s="1506"/>
      <c r="AC23" s="1479"/>
      <c r="AD23" s="1479"/>
      <c r="AE23" s="1506"/>
      <c r="AF23" s="1479"/>
      <c r="AG23" s="1479"/>
      <c r="AH23" s="1506"/>
      <c r="AI23" s="1479"/>
      <c r="AJ23" s="1479"/>
    </row>
    <row r="24" spans="2:36" s="1475" customFormat="1" ht="18" customHeight="1" x14ac:dyDescent="0.25">
      <c r="B24" s="1502" t="s">
        <v>752</v>
      </c>
      <c r="C24" s="1477"/>
      <c r="D24" s="1544">
        <f t="shared" si="6"/>
        <v>516635131.04000002</v>
      </c>
      <c r="E24" s="1545">
        <f t="shared" si="2"/>
        <v>5.0799999999999998E-2</v>
      </c>
      <c r="F24" s="1500"/>
      <c r="G24" s="1544">
        <f>J24+M24</f>
        <v>483015574.93000001</v>
      </c>
      <c r="H24" s="1546">
        <f>((J24*K24)+(M24*N24))/G24</f>
        <v>5.0099999999999999E-2</v>
      </c>
      <c r="I24" s="1544">
        <f>((J24*L24)+(M24*O24))/G24</f>
        <v>3.54</v>
      </c>
      <c r="J24" s="1544">
        <v>0</v>
      </c>
      <c r="K24" s="1546">
        <v>0</v>
      </c>
      <c r="L24" s="1544">
        <v>0</v>
      </c>
      <c r="M24" s="1544">
        <f>P24+S24+V24+Y24</f>
        <v>483015574.93000001</v>
      </c>
      <c r="N24" s="1546">
        <f>((P24*Q24)+(S24*T24)+(V24*W24)+(Y24*Z24))/M24</f>
        <v>5.0099999999999999E-2</v>
      </c>
      <c r="O24" s="1544">
        <f t="shared" si="8"/>
        <v>3.54</v>
      </c>
      <c r="P24" s="1544">
        <f>63000000+63000000+31500000+212.35</f>
        <v>157500212.34999999</v>
      </c>
      <c r="Q24" s="1546">
        <v>4.7600000000000003E-2</v>
      </c>
      <c r="R24" s="1550">
        <v>3.8</v>
      </c>
      <c r="S24" s="1544">
        <v>270858715.13</v>
      </c>
      <c r="T24" s="1546">
        <v>4.8899999999999999E-2</v>
      </c>
      <c r="U24" s="1544">
        <v>3.78</v>
      </c>
      <c r="V24" s="1544">
        <v>54263732.130000003</v>
      </c>
      <c r="W24" s="1546">
        <v>6.3600000000000004E-2</v>
      </c>
      <c r="X24" s="1544">
        <v>1.61</v>
      </c>
      <c r="Y24" s="1544">
        <v>392915.32</v>
      </c>
      <c r="Z24" s="1546">
        <v>5.6000000000000001E-2</v>
      </c>
      <c r="AA24" s="1544">
        <v>1</v>
      </c>
      <c r="AB24" s="1544">
        <v>0</v>
      </c>
      <c r="AC24" s="1546">
        <v>0</v>
      </c>
      <c r="AD24" s="1544">
        <v>0</v>
      </c>
      <c r="AE24" s="1544">
        <v>1923539.11</v>
      </c>
      <c r="AF24" s="1546">
        <v>0.06</v>
      </c>
      <c r="AG24" s="1544">
        <v>1</v>
      </c>
      <c r="AH24" s="1544">
        <v>31696017</v>
      </c>
      <c r="AI24" s="1546">
        <v>6.0999999999999999E-2</v>
      </c>
      <c r="AJ24" s="1544">
        <v>1.53</v>
      </c>
    </row>
    <row r="25" spans="2:36" s="151" customFormat="1" ht="6" customHeight="1" x14ac:dyDescent="0.25">
      <c r="B25" s="1476"/>
      <c r="C25" s="1511"/>
      <c r="D25" s="1504"/>
      <c r="E25" s="1507"/>
      <c r="F25" s="1477"/>
      <c r="G25" s="1506"/>
      <c r="H25" s="1479"/>
      <c r="I25" s="1479"/>
      <c r="J25" s="1506"/>
      <c r="K25" s="1479"/>
      <c r="L25" s="1479"/>
      <c r="M25" s="1506"/>
      <c r="N25" s="1479"/>
      <c r="O25" s="1479"/>
      <c r="P25" s="1479"/>
      <c r="Q25" s="1479"/>
      <c r="R25" s="1480"/>
      <c r="S25" s="1506"/>
      <c r="T25" s="1479"/>
      <c r="U25" s="1479"/>
      <c r="V25" s="1508"/>
      <c r="W25" s="1479"/>
      <c r="X25" s="1479"/>
      <c r="Y25" s="1506"/>
      <c r="Z25" s="1479"/>
      <c r="AA25" s="1479"/>
      <c r="AB25" s="1506"/>
      <c r="AC25" s="1479"/>
      <c r="AD25" s="1479"/>
      <c r="AE25" s="1506"/>
      <c r="AF25" s="1479"/>
      <c r="AG25" s="1479"/>
      <c r="AH25" s="1506"/>
      <c r="AI25" s="1479"/>
      <c r="AJ25" s="1479"/>
    </row>
    <row r="26" spans="2:36" s="147" customFormat="1" ht="18" customHeight="1" x14ac:dyDescent="0.25">
      <c r="B26" s="1502" t="s">
        <v>753</v>
      </c>
      <c r="C26" s="1505"/>
      <c r="D26" s="1544">
        <f>SUM(D27:D31)</f>
        <v>144371000</v>
      </c>
      <c r="E26" s="1545">
        <f>+(D27*E27+D28*E28+D29*E29+D30*E30+D31*E31)/D26</f>
        <v>5.5100000000000003E-2</v>
      </c>
      <c r="F26" s="1511"/>
      <c r="G26" s="1544">
        <f>SUM(G27:G31)</f>
        <v>94371000</v>
      </c>
      <c r="H26" s="1546">
        <f>+(G27*H27+G28*H28+G29*H29+G30*H30+G31*H31)/G26</f>
        <v>5.4100000000000002E-2</v>
      </c>
      <c r="I26" s="1547">
        <f>((G27*I27)+(G28*I28+G29*I29+G30*I30+G31*I31))/G26</f>
        <v>3.31</v>
      </c>
      <c r="J26" s="1544">
        <f>SUM(J27:J31)</f>
        <v>0</v>
      </c>
      <c r="K26" s="1546">
        <f>SUM(K27:K31)</f>
        <v>0</v>
      </c>
      <c r="L26" s="1544">
        <f>SUM(L27:L31)</f>
        <v>0</v>
      </c>
      <c r="M26" s="1544">
        <f>SUM(M27:M31)</f>
        <v>94371000</v>
      </c>
      <c r="N26" s="1546">
        <f>+(M27*N27+M28*N28+M29*N29+M30*N30+M31*N31)/M26</f>
        <v>5.4100000000000002E-2</v>
      </c>
      <c r="O26" s="1548">
        <f>(($M$27*O27)+($M$28*O28)+($M$29*O29)+($M$30*O30)+($M$31*O31))/$M26</f>
        <v>3.31</v>
      </c>
      <c r="P26" s="1544">
        <f>SUM(P27:P31)</f>
        <v>37505548.609999999</v>
      </c>
      <c r="Q26" s="1546">
        <f>+(P27*Q27+P28*Q28+P29*Q29+P31*Q31)/P26</f>
        <v>4.7300000000000002E-2</v>
      </c>
      <c r="R26" s="1548">
        <f>+(P27*R27+P28*R28+P29*R29+P30*R30+P31*R31)/P26</f>
        <v>2.41</v>
      </c>
      <c r="S26" s="1544">
        <f>SUM(S27:S31)</f>
        <v>56865451.390000001</v>
      </c>
      <c r="T26" s="1546">
        <f>+(S27*T27+S28*T28+S29*T29+S30*T30+S31*T31)/S26</f>
        <v>5.8599999999999999E-2</v>
      </c>
      <c r="U26" s="1548">
        <f>+(S27*U27+S28*U28+S29*U29+S30*U30+S31*U31)/S26</f>
        <v>3.91</v>
      </c>
      <c r="V26" s="1548">
        <v>0</v>
      </c>
      <c r="W26" s="1546">
        <v>0</v>
      </c>
      <c r="X26" s="1548">
        <v>0</v>
      </c>
      <c r="Y26" s="1544">
        <v>0</v>
      </c>
      <c r="Z26" s="1546">
        <v>0</v>
      </c>
      <c r="AA26" s="1544">
        <v>0</v>
      </c>
      <c r="AB26" s="1544">
        <f t="shared" ref="AB26:AI26" si="11">SUM(AB27:AB31)</f>
        <v>0</v>
      </c>
      <c r="AC26" s="1546">
        <f t="shared" si="11"/>
        <v>0</v>
      </c>
      <c r="AD26" s="1544">
        <v>0</v>
      </c>
      <c r="AE26" s="1544">
        <f t="shared" si="11"/>
        <v>50000000</v>
      </c>
      <c r="AF26" s="1546">
        <f>((AE27*AF27)+(AE29*AF29))/AE26</f>
        <v>5.7000000000000002E-2</v>
      </c>
      <c r="AG26" s="1548">
        <f>+(AE27*AG27+AE28*AG28+AE29*AG29+AE30*AG30+AE31*AG31)/AE26</f>
        <v>0.88</v>
      </c>
      <c r="AH26" s="1544">
        <f t="shared" si="11"/>
        <v>0</v>
      </c>
      <c r="AI26" s="1546">
        <f t="shared" si="11"/>
        <v>0</v>
      </c>
      <c r="AJ26" s="1544">
        <v>0</v>
      </c>
    </row>
    <row r="27" spans="2:36" s="147" customFormat="1" ht="18" customHeight="1" x14ac:dyDescent="0.25">
      <c r="B27" s="1476" t="s">
        <v>754</v>
      </c>
      <c r="C27" s="1505"/>
      <c r="D27" s="1506">
        <f t="shared" ref="D27:D33" si="12">G27+AB27+AE27+AH27</f>
        <v>20000000</v>
      </c>
      <c r="E27" s="1523">
        <f t="shared" ref="E27:E31" si="13">((G27*H27)+(AB27*AC27)+(AE27*AF27)+(AH27*AI27))/D27</f>
        <v>0.06</v>
      </c>
      <c r="F27" s="1511"/>
      <c r="G27" s="1506">
        <f>J27+M27</f>
        <v>0</v>
      </c>
      <c r="H27" s="1479">
        <v>0</v>
      </c>
      <c r="I27" s="1506">
        <v>0</v>
      </c>
      <c r="J27" s="1506">
        <v>0</v>
      </c>
      <c r="K27" s="1479">
        <v>0</v>
      </c>
      <c r="L27" s="1506">
        <v>0</v>
      </c>
      <c r="M27" s="1506">
        <f>P27+S27+V27+Y27</f>
        <v>0</v>
      </c>
      <c r="N27" s="1479">
        <v>0</v>
      </c>
      <c r="O27" s="1506">
        <v>0</v>
      </c>
      <c r="P27" s="1506">
        <v>0</v>
      </c>
      <c r="Q27" s="1479">
        <v>0</v>
      </c>
      <c r="R27" s="1542">
        <v>0</v>
      </c>
      <c r="S27" s="1506">
        <v>0</v>
      </c>
      <c r="T27" s="1479">
        <v>0</v>
      </c>
      <c r="U27" s="1506">
        <v>0</v>
      </c>
      <c r="V27" s="1508">
        <v>0</v>
      </c>
      <c r="W27" s="1479">
        <v>0</v>
      </c>
      <c r="X27" s="1506">
        <v>0</v>
      </c>
      <c r="Y27" s="1506">
        <v>0</v>
      </c>
      <c r="Z27" s="1479">
        <v>0</v>
      </c>
      <c r="AA27" s="1506">
        <v>0</v>
      </c>
      <c r="AB27" s="1506">
        <v>0</v>
      </c>
      <c r="AC27" s="1479">
        <v>0</v>
      </c>
      <c r="AD27" s="1506">
        <v>0</v>
      </c>
      <c r="AE27" s="1506">
        <v>20000000</v>
      </c>
      <c r="AF27" s="1479">
        <v>0.06</v>
      </c>
      <c r="AG27" s="1506">
        <v>1.1000000000000001</v>
      </c>
      <c r="AH27" s="1506">
        <v>0</v>
      </c>
      <c r="AI27" s="1479">
        <v>0</v>
      </c>
      <c r="AJ27" s="1506">
        <v>0</v>
      </c>
    </row>
    <row r="28" spans="2:36" s="147" customFormat="1" ht="18" customHeight="1" x14ac:dyDescent="0.25">
      <c r="B28" s="1476" t="s">
        <v>756</v>
      </c>
      <c r="C28" s="1505"/>
      <c r="D28" s="1506">
        <f t="shared" si="12"/>
        <v>34371000</v>
      </c>
      <c r="E28" s="1523">
        <f t="shared" si="13"/>
        <v>4.4699999999999997E-2</v>
      </c>
      <c r="F28" s="1500"/>
      <c r="G28" s="1551">
        <f>J28+M28</f>
        <v>34371000</v>
      </c>
      <c r="H28" s="1552">
        <f>((J28*K28)+(M28*N28))/G28</f>
        <v>4.4699999999999997E-2</v>
      </c>
      <c r="I28" s="1506">
        <f t="shared" ref="I28:I33" si="14">((J28*L28)+(M28*O28))/G28</f>
        <v>4.2300000000000004</v>
      </c>
      <c r="J28" s="1506">
        <v>0</v>
      </c>
      <c r="K28" s="1479">
        <v>0</v>
      </c>
      <c r="L28" s="1506">
        <v>0</v>
      </c>
      <c r="M28" s="1506">
        <f>P28+S28+V28+Y28</f>
        <v>34371000</v>
      </c>
      <c r="N28" s="1479">
        <f>((P28*Q28)+(S28*T28)+(V28*W28)+(Y28*Z28))/M28</f>
        <v>4.4699999999999997E-2</v>
      </c>
      <c r="O28" s="1506">
        <f t="shared" ref="O28:O33" si="15">((P28*R28)+(S28*U28)+(V28*X28)+(Y28*AA28))/M28</f>
        <v>4.2300000000000004</v>
      </c>
      <c r="P28" s="1506">
        <f>Hoja10!F97</f>
        <v>26407020</v>
      </c>
      <c r="Q28" s="1479">
        <f>Hoja10!I100</f>
        <v>4.19E-2</v>
      </c>
      <c r="R28" s="1542">
        <v>3.11</v>
      </c>
      <c r="S28" s="1506">
        <f>Hoja10!F225</f>
        <v>7963980</v>
      </c>
      <c r="T28" s="1479">
        <v>5.3999999999999999E-2</v>
      </c>
      <c r="U28" s="1506">
        <v>7.96</v>
      </c>
      <c r="V28" s="1508">
        <v>0</v>
      </c>
      <c r="W28" s="1479">
        <v>0</v>
      </c>
      <c r="X28" s="1506">
        <v>0</v>
      </c>
      <c r="Y28" s="1506">
        <v>0</v>
      </c>
      <c r="Z28" s="1479">
        <v>0</v>
      </c>
      <c r="AA28" s="1506">
        <v>0</v>
      </c>
      <c r="AB28" s="1506">
        <v>0</v>
      </c>
      <c r="AC28" s="1479">
        <v>0</v>
      </c>
      <c r="AD28" s="1506">
        <v>0</v>
      </c>
      <c r="AE28" s="1506">
        <v>0</v>
      </c>
      <c r="AF28" s="1479">
        <v>0</v>
      </c>
      <c r="AG28" s="1506">
        <v>0</v>
      </c>
      <c r="AH28" s="1506">
        <v>0</v>
      </c>
      <c r="AI28" s="1479">
        <v>0</v>
      </c>
      <c r="AJ28" s="1506">
        <v>0</v>
      </c>
    </row>
    <row r="29" spans="2:36" s="147" customFormat="1" ht="18" customHeight="1" x14ac:dyDescent="0.25">
      <c r="B29" s="1476" t="s">
        <v>757</v>
      </c>
      <c r="C29" s="1505"/>
      <c r="D29" s="1506">
        <f t="shared" si="12"/>
        <v>30000000</v>
      </c>
      <c r="E29" s="1523">
        <f t="shared" si="13"/>
        <v>5.5E-2</v>
      </c>
      <c r="F29" s="1500"/>
      <c r="G29" s="1551">
        <f>J29+M29</f>
        <v>0</v>
      </c>
      <c r="H29" s="1479">
        <v>0</v>
      </c>
      <c r="I29" s="1506">
        <v>0</v>
      </c>
      <c r="J29" s="1506">
        <v>0</v>
      </c>
      <c r="K29" s="1479">
        <v>0</v>
      </c>
      <c r="L29" s="1506">
        <v>0</v>
      </c>
      <c r="M29" s="1506">
        <f>P29+S29+V29+Y29</f>
        <v>0</v>
      </c>
      <c r="N29" s="1479">
        <v>0</v>
      </c>
      <c r="O29" s="1506">
        <v>0</v>
      </c>
      <c r="P29" s="1506">
        <v>0</v>
      </c>
      <c r="Q29" s="1479">
        <v>0</v>
      </c>
      <c r="R29" s="1542">
        <v>0</v>
      </c>
      <c r="S29" s="1506">
        <v>0</v>
      </c>
      <c r="T29" s="1479">
        <v>0</v>
      </c>
      <c r="U29" s="1506">
        <v>0</v>
      </c>
      <c r="V29" s="1508">
        <v>0</v>
      </c>
      <c r="W29" s="1479">
        <v>0</v>
      </c>
      <c r="X29" s="1506">
        <v>0</v>
      </c>
      <c r="Y29" s="1506">
        <v>0</v>
      </c>
      <c r="Z29" s="1479">
        <v>0</v>
      </c>
      <c r="AA29" s="1506">
        <v>0</v>
      </c>
      <c r="AB29" s="1506">
        <v>0</v>
      </c>
      <c r="AC29" s="1479">
        <v>0</v>
      </c>
      <c r="AD29" s="1506">
        <v>0</v>
      </c>
      <c r="AE29" s="1506">
        <v>30000000</v>
      </c>
      <c r="AF29" s="1479">
        <v>5.5E-2</v>
      </c>
      <c r="AG29" s="1506">
        <v>0.74</v>
      </c>
      <c r="AH29" s="1506">
        <v>0</v>
      </c>
      <c r="AI29" s="1479">
        <v>0</v>
      </c>
      <c r="AJ29" s="1506">
        <v>0</v>
      </c>
    </row>
    <row r="30" spans="2:36" s="147" customFormat="1" ht="18" customHeight="1" x14ac:dyDescent="0.25">
      <c r="B30" s="1476" t="s">
        <v>757</v>
      </c>
      <c r="C30" s="1505"/>
      <c r="D30" s="1506">
        <f t="shared" si="12"/>
        <v>30000000</v>
      </c>
      <c r="E30" s="1523">
        <f t="shared" si="13"/>
        <v>5.8999999999999997E-2</v>
      </c>
      <c r="F30" s="1500"/>
      <c r="G30" s="1551">
        <f>J30+M30</f>
        <v>30000000</v>
      </c>
      <c r="H30" s="1552">
        <f>((J30*K30)+(M30*N30))/G30</f>
        <v>5.8999999999999997E-2</v>
      </c>
      <c r="I30" s="1506">
        <f t="shared" si="14"/>
        <v>4.82</v>
      </c>
      <c r="J30" s="1506">
        <v>0</v>
      </c>
      <c r="K30" s="1479">
        <v>0</v>
      </c>
      <c r="L30" s="1506">
        <v>0</v>
      </c>
      <c r="M30" s="1506">
        <f>P30+S30+V30+Y30</f>
        <v>30000000</v>
      </c>
      <c r="N30" s="1479">
        <f>((P30*Q30)+(S30*T30)+(V30*W30)+(Y30*Z30))/M30</f>
        <v>5.8999999999999997E-2</v>
      </c>
      <c r="O30" s="1506">
        <f t="shared" si="15"/>
        <v>4.82</v>
      </c>
      <c r="P30" s="1506">
        <v>0</v>
      </c>
      <c r="Q30" s="1479">
        <v>0</v>
      </c>
      <c r="R30" s="1542">
        <v>0</v>
      </c>
      <c r="S30" s="1506">
        <v>30000000</v>
      </c>
      <c r="T30" s="1479">
        <v>5.8999999999999997E-2</v>
      </c>
      <c r="U30" s="1506">
        <v>4.82</v>
      </c>
      <c r="V30" s="1508">
        <v>0</v>
      </c>
      <c r="W30" s="1479">
        <v>0</v>
      </c>
      <c r="X30" s="1506">
        <v>0</v>
      </c>
      <c r="Y30" s="1506">
        <v>0</v>
      </c>
      <c r="Z30" s="1479">
        <v>0</v>
      </c>
      <c r="AA30" s="1506">
        <v>0</v>
      </c>
      <c r="AB30" s="1506">
        <v>0</v>
      </c>
      <c r="AC30" s="1479">
        <v>0</v>
      </c>
      <c r="AD30" s="1506">
        <v>0</v>
      </c>
      <c r="AE30" s="1506">
        <v>0</v>
      </c>
      <c r="AF30" s="1479">
        <v>0</v>
      </c>
      <c r="AG30" s="1506">
        <v>0</v>
      </c>
      <c r="AH30" s="1506">
        <v>0</v>
      </c>
      <c r="AI30" s="1479">
        <v>0</v>
      </c>
      <c r="AJ30" s="1506">
        <v>0</v>
      </c>
    </row>
    <row r="31" spans="2:36" s="147" customFormat="1" ht="18" customHeight="1" x14ac:dyDescent="0.25">
      <c r="B31" s="1476" t="s">
        <v>758</v>
      </c>
      <c r="C31" s="1505"/>
      <c r="D31" s="1506">
        <f t="shared" si="12"/>
        <v>30000000</v>
      </c>
      <c r="E31" s="1523">
        <f t="shared" si="13"/>
        <v>0.06</v>
      </c>
      <c r="F31" s="1511"/>
      <c r="G31" s="1551">
        <f>J31+M31</f>
        <v>30000000</v>
      </c>
      <c r="H31" s="1552">
        <f>((J31*K31)+(M31*N31))/G31</f>
        <v>0.06</v>
      </c>
      <c r="I31" s="1506">
        <f t="shared" si="14"/>
        <v>0.76</v>
      </c>
      <c r="J31" s="1506">
        <v>0</v>
      </c>
      <c r="K31" s="1479">
        <v>0</v>
      </c>
      <c r="L31" s="1506">
        <v>0</v>
      </c>
      <c r="M31" s="1506">
        <f>P31+S31+V31+Y31</f>
        <v>30000000</v>
      </c>
      <c r="N31" s="1479">
        <f>((P31*Q31)+(S31*T31)+(V31*W31)+(Y31*Z31))/M31</f>
        <v>0.06</v>
      </c>
      <c r="O31" s="1506">
        <f t="shared" si="15"/>
        <v>0.76</v>
      </c>
      <c r="P31" s="1506">
        <v>11098528.609999999</v>
      </c>
      <c r="Q31" s="1479">
        <v>0.06</v>
      </c>
      <c r="R31" s="1542">
        <v>0.76</v>
      </c>
      <c r="S31" s="1506">
        <v>18901471.390000001</v>
      </c>
      <c r="T31" s="1479">
        <v>0.06</v>
      </c>
      <c r="U31" s="1506">
        <v>0.76</v>
      </c>
      <c r="V31" s="1508">
        <v>0</v>
      </c>
      <c r="W31" s="1479">
        <v>0</v>
      </c>
      <c r="X31" s="1506">
        <v>0</v>
      </c>
      <c r="Y31" s="1506">
        <v>0</v>
      </c>
      <c r="Z31" s="1479">
        <v>0</v>
      </c>
      <c r="AA31" s="1506">
        <v>0</v>
      </c>
      <c r="AB31" s="1506">
        <v>0</v>
      </c>
      <c r="AC31" s="1479">
        <v>0</v>
      </c>
      <c r="AD31" s="1506">
        <v>0</v>
      </c>
      <c r="AE31" s="1506">
        <v>0</v>
      </c>
      <c r="AF31" s="1479">
        <v>0</v>
      </c>
      <c r="AG31" s="1506">
        <v>0</v>
      </c>
      <c r="AH31" s="1506">
        <v>0</v>
      </c>
      <c r="AI31" s="1479">
        <v>0</v>
      </c>
      <c r="AJ31" s="1506">
        <v>0</v>
      </c>
    </row>
    <row r="32" spans="2:36" s="147" customFormat="1" ht="6" customHeight="1" x14ac:dyDescent="0.25">
      <c r="B32" s="1502"/>
      <c r="C32" s="1505"/>
      <c r="D32" s="1506"/>
      <c r="E32" s="1479"/>
      <c r="F32" s="1511"/>
      <c r="G32" s="1506"/>
      <c r="H32" s="1479"/>
      <c r="I32" s="1479"/>
      <c r="J32" s="1506"/>
      <c r="K32" s="1479"/>
      <c r="L32" s="1479"/>
      <c r="M32" s="1506"/>
      <c r="N32" s="1479"/>
      <c r="O32" s="1479"/>
      <c r="P32" s="1479"/>
      <c r="Q32" s="1479"/>
      <c r="R32" s="1480"/>
      <c r="S32" s="1506"/>
      <c r="T32" s="1479"/>
      <c r="U32" s="1479"/>
      <c r="V32" s="1508"/>
      <c r="W32" s="1479"/>
      <c r="X32" s="1479"/>
      <c r="Y32" s="1506"/>
      <c r="Z32" s="1479"/>
      <c r="AA32" s="1479"/>
      <c r="AB32" s="1506"/>
      <c r="AC32" s="1479"/>
      <c r="AD32" s="1479"/>
      <c r="AE32" s="1506"/>
      <c r="AF32" s="1479"/>
      <c r="AG32" s="1479"/>
      <c r="AH32" s="1506"/>
      <c r="AI32" s="1479"/>
      <c r="AJ32" s="1479"/>
    </row>
    <row r="33" spans="2:38" s="147" customFormat="1" ht="18" customHeight="1" x14ac:dyDescent="0.25">
      <c r="B33" s="1502" t="s">
        <v>759</v>
      </c>
      <c r="C33" s="1505"/>
      <c r="D33" s="1553">
        <f t="shared" si="12"/>
        <v>200000000</v>
      </c>
      <c r="E33" s="1554">
        <f t="shared" ref="E33" si="16">((G33*H33)+(AB33*AC33)+(AE33*AF33)+(AH33*AI33))/D33</f>
        <v>3.5000000000000003E-2</v>
      </c>
      <c r="F33" s="1511"/>
      <c r="G33" s="1555">
        <f>J33+M33</f>
        <v>200000000</v>
      </c>
      <c r="H33" s="1556">
        <f>((J33*K33)+(M33*N33))/G33</f>
        <v>3.5000000000000003E-2</v>
      </c>
      <c r="I33" s="1553">
        <f t="shared" si="14"/>
        <v>18.170000000000002</v>
      </c>
      <c r="J33" s="1553">
        <v>0</v>
      </c>
      <c r="K33" s="1557">
        <v>0</v>
      </c>
      <c r="L33" s="1553">
        <v>0</v>
      </c>
      <c r="M33" s="1553">
        <f>P33+S33+V33+Y33</f>
        <v>200000000</v>
      </c>
      <c r="N33" s="1557">
        <f>((P33*Q33)+(S33*T33)+(V33*W33)+(Y33*Z33))/M33</f>
        <v>3.5000000000000003E-2</v>
      </c>
      <c r="O33" s="1553">
        <f t="shared" si="15"/>
        <v>18.170000000000002</v>
      </c>
      <c r="P33" s="1553">
        <f>Hoja10!F101</f>
        <v>71882137.159999996</v>
      </c>
      <c r="Q33" s="1557">
        <v>3.5000000000000003E-2</v>
      </c>
      <c r="R33" s="1558">
        <v>18.170000000000002</v>
      </c>
      <c r="S33" s="1553">
        <f>Hoja10!F227</f>
        <v>128117862.84</v>
      </c>
      <c r="T33" s="1557">
        <v>3.5000000000000003E-2</v>
      </c>
      <c r="U33" s="1553">
        <v>18.170000000000002</v>
      </c>
      <c r="V33" s="1559">
        <v>0</v>
      </c>
      <c r="W33" s="1557">
        <v>0</v>
      </c>
      <c r="X33" s="1553">
        <v>0</v>
      </c>
      <c r="Y33" s="1553">
        <v>0</v>
      </c>
      <c r="Z33" s="1557">
        <v>0</v>
      </c>
      <c r="AA33" s="1553">
        <v>0</v>
      </c>
      <c r="AB33" s="1553">
        <v>0</v>
      </c>
      <c r="AC33" s="1557">
        <v>0</v>
      </c>
      <c r="AD33" s="1553">
        <v>0</v>
      </c>
      <c r="AE33" s="1553">
        <v>0</v>
      </c>
      <c r="AF33" s="1557">
        <v>0</v>
      </c>
      <c r="AG33" s="1553">
        <v>0</v>
      </c>
      <c r="AH33" s="1553">
        <v>0</v>
      </c>
      <c r="AI33" s="1557">
        <v>0</v>
      </c>
      <c r="AJ33" s="1553">
        <v>0</v>
      </c>
    </row>
    <row r="34" spans="2:38" s="151" customFormat="1" ht="14.25" customHeight="1" x14ac:dyDescent="0.25">
      <c r="B34" s="1510"/>
      <c r="C34" s="1511"/>
      <c r="D34" s="1509"/>
      <c r="E34" s="1512"/>
      <c r="F34" s="1501"/>
      <c r="G34" s="1501"/>
      <c r="H34" s="1513"/>
      <c r="I34" s="1514"/>
      <c r="J34" s="1501"/>
      <c r="K34" s="1514"/>
      <c r="L34" s="1514"/>
      <c r="M34" s="1501"/>
      <c r="N34" s="1514"/>
      <c r="O34" s="1514"/>
      <c r="P34" s="1501"/>
      <c r="Q34" s="1514"/>
      <c r="R34" s="1514"/>
      <c r="S34" s="1501"/>
      <c r="T34" s="1513"/>
      <c r="U34" s="1513"/>
      <c r="V34" s="1515"/>
      <c r="W34" s="1514"/>
      <c r="X34" s="1514"/>
      <c r="Y34" s="1501"/>
      <c r="Z34" s="1514"/>
      <c r="AA34" s="1514"/>
      <c r="AB34" s="1501"/>
      <c r="AC34" s="1514"/>
      <c r="AD34" s="1514"/>
      <c r="AE34" s="1501"/>
      <c r="AF34" s="1514"/>
      <c r="AG34" s="1514"/>
      <c r="AH34" s="1501"/>
      <c r="AI34" s="1514"/>
      <c r="AJ34" s="1501"/>
    </row>
    <row r="35" spans="2:38" s="156" customFormat="1" ht="20.149999999999999" customHeight="1" x14ac:dyDescent="0.25">
      <c r="B35" s="1511" t="s">
        <v>71</v>
      </c>
      <c r="C35" s="1503"/>
      <c r="D35" s="1509"/>
      <c r="E35" s="1516"/>
      <c r="F35" s="1503"/>
      <c r="G35" s="1503"/>
      <c r="H35" s="1517"/>
      <c r="I35" s="1517"/>
      <c r="J35" s="1503"/>
      <c r="K35" s="1517"/>
      <c r="L35" s="1517"/>
      <c r="M35" s="1503"/>
      <c r="N35" s="1517"/>
      <c r="O35" s="1517"/>
      <c r="P35" s="1503"/>
      <c r="Q35" s="1517"/>
      <c r="R35" s="1517"/>
      <c r="S35" s="1503"/>
      <c r="T35" s="1517"/>
      <c r="U35" s="1517"/>
      <c r="V35" s="1518"/>
      <c r="W35" s="1517"/>
      <c r="X35" s="1517"/>
      <c r="Y35" s="1503"/>
      <c r="Z35" s="1517"/>
      <c r="AA35" s="1517"/>
      <c r="AB35" s="1503"/>
      <c r="AC35" s="1517"/>
      <c r="AD35" s="1517"/>
      <c r="AE35" s="1503"/>
      <c r="AF35" s="1517"/>
      <c r="AG35" s="1517"/>
      <c r="AH35" s="1503"/>
      <c r="AI35" s="1517"/>
      <c r="AJ35" s="1503"/>
    </row>
    <row r="36" spans="2:38" s="156" customFormat="1" ht="51.75" customHeight="1" x14ac:dyDescent="0.25">
      <c r="B36" s="1608" t="s">
        <v>755</v>
      </c>
      <c r="C36" s="1608"/>
      <c r="D36" s="1608"/>
      <c r="E36" s="1608"/>
      <c r="F36" s="1608"/>
      <c r="G36" s="1608"/>
      <c r="H36" s="1608"/>
      <c r="I36" s="1608"/>
      <c r="J36" s="1608"/>
      <c r="K36" s="1608"/>
      <c r="L36" s="1608"/>
      <c r="M36" s="1608"/>
      <c r="N36" s="1608"/>
      <c r="O36" s="1608"/>
      <c r="P36" s="1608"/>
      <c r="Q36" s="1608"/>
      <c r="R36" s="1608"/>
      <c r="S36" s="1608"/>
      <c r="T36" s="1608"/>
      <c r="U36" s="1608"/>
      <c r="V36" s="1608"/>
      <c r="W36" s="1608"/>
      <c r="X36" s="1608"/>
      <c r="Y36" s="1608"/>
      <c r="Z36" s="1608"/>
      <c r="AA36" s="1608"/>
      <c r="AB36" s="1608"/>
      <c r="AC36" s="1608"/>
      <c r="AD36" s="1608"/>
      <c r="AE36" s="1608"/>
      <c r="AF36" s="1608"/>
      <c r="AG36" s="1608"/>
      <c r="AH36" s="1608"/>
      <c r="AI36" s="1608"/>
      <c r="AJ36" s="1608"/>
      <c r="AK36" s="1608"/>
      <c r="AL36" s="1608"/>
    </row>
    <row r="37" spans="2:38" s="156" customFormat="1" ht="35.15" customHeight="1" x14ac:dyDescent="0.25">
      <c r="B37" s="1608" t="s">
        <v>765</v>
      </c>
      <c r="C37" s="1608"/>
      <c r="D37" s="1608"/>
      <c r="E37" s="1608"/>
      <c r="F37" s="1608"/>
      <c r="G37" s="1608"/>
      <c r="H37" s="1608"/>
      <c r="I37" s="1608"/>
      <c r="J37" s="1608"/>
      <c r="K37" s="1608"/>
      <c r="L37" s="1608"/>
      <c r="M37" s="1608"/>
      <c r="N37" s="1608"/>
      <c r="O37" s="1608"/>
      <c r="P37" s="1608"/>
      <c r="Q37" s="1608"/>
      <c r="R37" s="1608"/>
      <c r="S37" s="1608"/>
      <c r="T37" s="1608"/>
      <c r="U37" s="1608"/>
      <c r="V37" s="1608"/>
      <c r="W37" s="1608"/>
      <c r="X37" s="1608"/>
      <c r="Y37" s="1608"/>
      <c r="Z37" s="1608"/>
      <c r="AA37" s="1608"/>
      <c r="AB37" s="1608"/>
      <c r="AC37" s="1608"/>
      <c r="AD37" s="1608"/>
      <c r="AE37" s="1608"/>
      <c r="AF37" s="1608"/>
      <c r="AG37" s="1608"/>
      <c r="AH37" s="1608"/>
      <c r="AI37" s="1608"/>
      <c r="AJ37" s="1608"/>
      <c r="AK37" s="1608"/>
      <c r="AL37" s="1608"/>
    </row>
    <row r="38" spans="2:38" s="156" customFormat="1" ht="35.15" customHeight="1" x14ac:dyDescent="0.25">
      <c r="B38" s="1608" t="s">
        <v>81</v>
      </c>
      <c r="C38" s="1608"/>
      <c r="D38" s="1608"/>
      <c r="E38" s="1608"/>
      <c r="F38" s="1608"/>
      <c r="G38" s="1608"/>
      <c r="H38" s="1608"/>
      <c r="I38" s="1608"/>
      <c r="J38" s="1608"/>
      <c r="K38" s="1608"/>
      <c r="L38" s="1608"/>
      <c r="M38" s="1608"/>
      <c r="N38" s="1608"/>
      <c r="O38" s="1608"/>
      <c r="P38" s="1608"/>
      <c r="Q38" s="1608"/>
      <c r="R38" s="1608"/>
      <c r="S38" s="1608"/>
      <c r="T38" s="1608"/>
      <c r="U38" s="1608"/>
      <c r="V38" s="1608"/>
      <c r="W38" s="1608"/>
      <c r="X38" s="1608"/>
      <c r="Y38" s="1608"/>
      <c r="Z38" s="1608"/>
      <c r="AA38" s="1608"/>
      <c r="AB38" s="1608"/>
      <c r="AC38" s="1608"/>
      <c r="AD38" s="1608"/>
      <c r="AE38" s="1608"/>
      <c r="AF38" s="1608"/>
      <c r="AG38" s="1608"/>
      <c r="AH38" s="1608"/>
      <c r="AI38" s="1608"/>
      <c r="AJ38" s="1608"/>
      <c r="AK38" s="1608"/>
      <c r="AL38" s="1608"/>
    </row>
    <row r="39" spans="2:38" s="156" customFormat="1" ht="36.75" customHeight="1" x14ac:dyDescent="0.25">
      <c r="B39" s="1608" t="s">
        <v>763</v>
      </c>
      <c r="C39" s="1608"/>
      <c r="D39" s="1608"/>
      <c r="E39" s="1608"/>
      <c r="F39" s="1608"/>
      <c r="G39" s="1608"/>
      <c r="H39" s="1608"/>
      <c r="I39" s="1608"/>
      <c r="J39" s="1608"/>
      <c r="K39" s="1608"/>
      <c r="L39" s="1608"/>
      <c r="M39" s="1608"/>
      <c r="N39" s="1608"/>
      <c r="O39" s="1608"/>
      <c r="P39" s="1608"/>
      <c r="Q39" s="1608"/>
      <c r="R39" s="1608"/>
      <c r="S39" s="1608"/>
      <c r="T39" s="1608"/>
      <c r="U39" s="1608"/>
      <c r="V39" s="1608"/>
      <c r="W39" s="1608"/>
      <c r="X39" s="1608"/>
      <c r="Y39" s="1608"/>
      <c r="Z39" s="1608"/>
      <c r="AA39" s="1608"/>
      <c r="AB39" s="1608"/>
      <c r="AC39" s="1608"/>
      <c r="AD39" s="1608"/>
      <c r="AE39" s="1608"/>
      <c r="AF39" s="1608"/>
      <c r="AG39" s="1608"/>
      <c r="AH39" s="1608"/>
      <c r="AI39" s="1608"/>
      <c r="AJ39" s="1608"/>
      <c r="AK39" s="1608"/>
      <c r="AL39" s="1608"/>
    </row>
    <row r="40" spans="2:38" s="156" customFormat="1" ht="37.5" customHeight="1" x14ac:dyDescent="0.25">
      <c r="B40" s="1608" t="s">
        <v>764</v>
      </c>
      <c r="C40" s="1608"/>
      <c r="D40" s="1608"/>
      <c r="E40" s="1608"/>
      <c r="F40" s="1608"/>
      <c r="G40" s="1608"/>
      <c r="H40" s="1608"/>
      <c r="I40" s="1608"/>
      <c r="J40" s="1608"/>
      <c r="K40" s="1608"/>
      <c r="L40" s="1608"/>
      <c r="M40" s="1608"/>
      <c r="N40" s="1608"/>
      <c r="O40" s="1608"/>
      <c r="P40" s="1608"/>
      <c r="Q40" s="1608"/>
      <c r="R40" s="1608"/>
      <c r="S40" s="1608"/>
      <c r="T40" s="1608"/>
      <c r="U40" s="1608"/>
      <c r="V40" s="1608"/>
      <c r="W40" s="1608"/>
      <c r="X40" s="1608"/>
      <c r="Y40" s="1608"/>
      <c r="Z40" s="1608"/>
      <c r="AA40" s="1608"/>
      <c r="AB40" s="1608"/>
      <c r="AC40" s="1608"/>
      <c r="AD40" s="1608"/>
      <c r="AE40" s="1608"/>
      <c r="AF40" s="1608"/>
      <c r="AG40" s="1608"/>
      <c r="AH40" s="1608"/>
      <c r="AI40" s="1608"/>
      <c r="AJ40" s="1608"/>
      <c r="AK40" s="1608"/>
      <c r="AL40" s="1608"/>
    </row>
    <row r="41" spans="2:38" s="156" customFormat="1" ht="36.75" customHeight="1" x14ac:dyDescent="0.25">
      <c r="B41" s="1608" t="s">
        <v>761</v>
      </c>
      <c r="C41" s="1608"/>
      <c r="D41" s="1608"/>
      <c r="E41" s="1608"/>
      <c r="F41" s="1608"/>
      <c r="G41" s="1608"/>
      <c r="H41" s="1608"/>
      <c r="I41" s="1608"/>
      <c r="J41" s="1608"/>
      <c r="K41" s="1608"/>
      <c r="L41" s="1608"/>
      <c r="M41" s="1608"/>
      <c r="N41" s="1608"/>
      <c r="O41" s="1608"/>
      <c r="P41" s="1608"/>
      <c r="Q41" s="1608"/>
      <c r="R41" s="1608"/>
      <c r="S41" s="1608"/>
      <c r="T41" s="1608"/>
      <c r="U41" s="1608"/>
      <c r="V41" s="1608"/>
      <c r="W41" s="1608"/>
      <c r="X41" s="1608"/>
      <c r="Y41" s="1608"/>
      <c r="Z41" s="1608"/>
      <c r="AA41" s="1608"/>
      <c r="AB41" s="1608"/>
      <c r="AC41" s="1608"/>
      <c r="AD41" s="1608"/>
      <c r="AE41" s="1608"/>
      <c r="AF41" s="1608"/>
      <c r="AG41" s="1608"/>
      <c r="AH41" s="1608"/>
      <c r="AI41" s="1608"/>
      <c r="AJ41" s="1608"/>
      <c r="AK41" s="1608"/>
      <c r="AL41" s="1608"/>
    </row>
    <row r="42" spans="2:38" s="156" customFormat="1" ht="10.5" customHeight="1" x14ac:dyDescent="0.25">
      <c r="B42" s="1511"/>
      <c r="C42" s="1503"/>
      <c r="D42" s="1509"/>
      <c r="E42" s="1519"/>
      <c r="F42" s="1503"/>
      <c r="G42" s="1503"/>
      <c r="H42" s="1517"/>
      <c r="I42" s="1517"/>
      <c r="J42" s="1503"/>
      <c r="K42" s="1517"/>
      <c r="L42" s="1517"/>
      <c r="M42" s="1503"/>
      <c r="N42" s="1517"/>
      <c r="O42" s="1517"/>
      <c r="P42" s="1503"/>
      <c r="Q42" s="1517"/>
      <c r="R42" s="1517"/>
      <c r="S42" s="1503"/>
      <c r="T42" s="1517"/>
      <c r="U42" s="1517"/>
      <c r="V42" s="1518"/>
      <c r="W42" s="1517"/>
      <c r="X42" s="1517"/>
      <c r="Y42" s="1503"/>
      <c r="Z42" s="1517"/>
      <c r="AA42" s="1517"/>
      <c r="AB42" s="1503"/>
      <c r="AC42" s="1517"/>
      <c r="AD42" s="1517"/>
      <c r="AE42" s="1503"/>
      <c r="AF42" s="1517"/>
      <c r="AG42" s="1517"/>
      <c r="AH42" s="1503"/>
      <c r="AI42" s="1517"/>
      <c r="AJ42" s="1503"/>
    </row>
    <row r="43" spans="2:38" s="156" customFormat="1" ht="20.149999999999999" customHeight="1" x14ac:dyDescent="0.25">
      <c r="B43" s="1511" t="s">
        <v>770</v>
      </c>
      <c r="C43" s="1503"/>
      <c r="D43" s="1509"/>
      <c r="E43" s="1519"/>
      <c r="F43" s="1503"/>
      <c r="G43" s="1503"/>
      <c r="H43" s="1517"/>
      <c r="I43" s="1517"/>
      <c r="J43" s="1503"/>
      <c r="K43" s="1517"/>
      <c r="L43" s="1517"/>
      <c r="M43" s="1503"/>
      <c r="N43" s="1517"/>
      <c r="O43" s="1517"/>
      <c r="P43" s="1503"/>
      <c r="Q43" s="1517"/>
      <c r="R43" s="1517"/>
      <c r="S43" s="1503"/>
      <c r="T43" s="1517"/>
      <c r="U43" s="1517"/>
      <c r="V43" s="1518"/>
      <c r="W43" s="1517"/>
      <c r="X43" s="1517"/>
      <c r="Y43" s="1503"/>
      <c r="Z43" s="1517"/>
      <c r="AA43" s="1517"/>
      <c r="AB43" s="1503"/>
      <c r="AC43" s="1517"/>
      <c r="AD43" s="1517"/>
      <c r="AE43" s="1503"/>
      <c r="AF43" s="1517"/>
      <c r="AG43" s="1517"/>
      <c r="AH43" s="1503"/>
      <c r="AI43" s="1517"/>
      <c r="AJ43" s="1503"/>
    </row>
    <row r="44" spans="2:38" s="156" customFormat="1" ht="35.15" customHeight="1" x14ac:dyDescent="0.25">
      <c r="B44" s="1608" t="s">
        <v>78</v>
      </c>
      <c r="C44" s="1608"/>
      <c r="D44" s="1608"/>
      <c r="E44" s="1608"/>
      <c r="F44" s="1608"/>
      <c r="G44" s="1608"/>
      <c r="H44" s="1608"/>
      <c r="I44" s="1608"/>
      <c r="J44" s="1608"/>
      <c r="K44" s="1608"/>
      <c r="L44" s="1608"/>
      <c r="M44" s="1608"/>
      <c r="N44" s="1608"/>
      <c r="O44" s="1608"/>
      <c r="P44" s="1608"/>
      <c r="Q44" s="1608"/>
      <c r="R44" s="1608"/>
      <c r="S44" s="1608"/>
      <c r="T44" s="1608"/>
      <c r="U44" s="1608"/>
      <c r="V44" s="1608"/>
      <c r="W44" s="1608"/>
      <c r="X44" s="1608"/>
      <c r="Y44" s="1608"/>
      <c r="Z44" s="1608"/>
      <c r="AA44" s="1608"/>
      <c r="AB44" s="1608"/>
      <c r="AC44" s="1608"/>
      <c r="AD44" s="1608"/>
      <c r="AE44" s="1608"/>
      <c r="AF44" s="1608"/>
      <c r="AG44" s="1608"/>
      <c r="AH44" s="1608"/>
      <c r="AI44" s="1608"/>
      <c r="AJ44" s="1608"/>
      <c r="AK44" s="1608"/>
      <c r="AL44" s="1608"/>
    </row>
    <row r="45" spans="2:38" s="156" customFormat="1" ht="20.149999999999999" customHeight="1" x14ac:dyDescent="0.25">
      <c r="B45" s="1576" t="s">
        <v>79</v>
      </c>
      <c r="C45" s="1503"/>
      <c r="D45" s="1509"/>
      <c r="E45" s="1519"/>
      <c r="F45" s="1503"/>
      <c r="G45" s="1503"/>
      <c r="H45" s="1517"/>
      <c r="I45" s="1503"/>
      <c r="J45" s="1503"/>
      <c r="K45" s="1503"/>
      <c r="L45" s="1503"/>
      <c r="M45" s="1503"/>
      <c r="N45" s="1517"/>
      <c r="O45" s="1517"/>
      <c r="P45" s="1503"/>
      <c r="Q45" s="1517"/>
      <c r="R45" s="1517"/>
      <c r="S45" s="1503"/>
      <c r="T45" s="1517"/>
      <c r="U45" s="1517"/>
      <c r="V45" s="1518"/>
      <c r="W45" s="1517"/>
      <c r="X45" s="1517"/>
      <c r="Y45" s="1503"/>
      <c r="Z45" s="1517"/>
      <c r="AA45" s="1517"/>
      <c r="AB45" s="1503"/>
      <c r="AC45" s="1517"/>
      <c r="AD45" s="1517"/>
      <c r="AE45" s="1503"/>
      <c r="AF45" s="1517"/>
      <c r="AG45" s="1517"/>
      <c r="AH45" s="1503"/>
      <c r="AI45" s="1517"/>
      <c r="AJ45" s="1503"/>
    </row>
    <row r="46" spans="2:38" s="156" customFormat="1" ht="8.25" customHeight="1" x14ac:dyDescent="0.25">
      <c r="B46" s="1576"/>
      <c r="C46" s="1503"/>
      <c r="D46" s="1509"/>
      <c r="E46" s="1519"/>
      <c r="F46" s="1503"/>
      <c r="G46" s="1503"/>
      <c r="H46" s="1517"/>
      <c r="I46" s="1503"/>
      <c r="J46" s="1503"/>
      <c r="K46" s="1503"/>
      <c r="L46" s="1503"/>
      <c r="M46" s="1503"/>
      <c r="N46" s="1517"/>
      <c r="O46" s="1517"/>
      <c r="P46" s="1503"/>
      <c r="Q46" s="1517"/>
      <c r="R46" s="1517"/>
      <c r="S46" s="1501"/>
      <c r="T46" s="1514"/>
      <c r="U46" s="1514"/>
      <c r="V46" s="1515"/>
      <c r="W46" s="1514"/>
      <c r="X46" s="1514"/>
      <c r="Y46" s="1501"/>
      <c r="Z46" s="1514"/>
      <c r="AA46" s="1514"/>
      <c r="AB46" s="1501"/>
      <c r="AC46" s="1517"/>
      <c r="AD46" s="1517"/>
      <c r="AE46" s="1503"/>
      <c r="AF46" s="1517"/>
      <c r="AG46" s="1517"/>
      <c r="AH46" s="1503"/>
      <c r="AI46" s="1517"/>
      <c r="AJ46" s="1503"/>
    </row>
    <row r="47" spans="2:38" s="156" customFormat="1" ht="20.149999999999999" customHeight="1" x14ac:dyDescent="0.25">
      <c r="B47" s="1576" t="s">
        <v>768</v>
      </c>
      <c r="C47" s="1503"/>
      <c r="D47" s="1509"/>
      <c r="E47" s="1519"/>
      <c r="F47" s="1503"/>
      <c r="G47" s="1503"/>
      <c r="H47" s="1517"/>
      <c r="I47" s="1517"/>
      <c r="J47" s="1503"/>
      <c r="K47" s="1517"/>
      <c r="L47" s="1517"/>
      <c r="M47" s="1503"/>
      <c r="N47" s="1517"/>
      <c r="O47" s="1517"/>
      <c r="P47" s="1503"/>
      <c r="Q47" s="1517"/>
      <c r="R47" s="1517"/>
      <c r="S47" s="1503"/>
      <c r="T47" s="1517"/>
      <c r="U47" s="1517"/>
      <c r="V47" s="1518"/>
      <c r="W47" s="1517"/>
      <c r="X47" s="1517"/>
      <c r="Y47" s="1503"/>
      <c r="Z47" s="1517"/>
      <c r="AA47" s="1517"/>
      <c r="AB47" s="1503"/>
      <c r="AC47" s="1517"/>
      <c r="AD47" s="1517"/>
      <c r="AE47" s="1503"/>
      <c r="AF47" s="1517"/>
      <c r="AG47" s="1517"/>
      <c r="AH47" s="1503"/>
      <c r="AI47" s="1517"/>
      <c r="AJ47" s="1503"/>
    </row>
    <row r="48" spans="2:38" s="158" customFormat="1" ht="17.25" customHeight="1" x14ac:dyDescent="0.25">
      <c r="B48" s="1577" t="s">
        <v>769</v>
      </c>
      <c r="C48" s="1481"/>
      <c r="D48" s="1478"/>
      <c r="E48" s="1482"/>
      <c r="F48" s="1481"/>
      <c r="G48" s="1481"/>
      <c r="H48" s="1483"/>
      <c r="I48" s="1483"/>
      <c r="J48" s="1481"/>
      <c r="K48" s="1483"/>
      <c r="L48" s="1483"/>
      <c r="M48" s="1481"/>
      <c r="N48" s="1483"/>
      <c r="O48" s="1483"/>
      <c r="P48" s="1481"/>
      <c r="Q48" s="1483"/>
      <c r="R48" s="1483"/>
      <c r="S48" s="1481"/>
      <c r="T48" s="1483"/>
      <c r="U48" s="1483"/>
      <c r="V48" s="1484"/>
      <c r="W48" s="1483"/>
      <c r="X48" s="1483"/>
      <c r="Y48" s="1481"/>
      <c r="Z48" s="1483"/>
      <c r="AA48" s="1483"/>
      <c r="AB48" s="1481"/>
      <c r="AC48" s="1483"/>
      <c r="AD48" s="1483"/>
      <c r="AE48" s="1481"/>
      <c r="AF48" s="1483"/>
      <c r="AG48" s="1483"/>
      <c r="AH48" s="1481"/>
      <c r="AI48" s="1483"/>
      <c r="AJ48" s="1481"/>
    </row>
    <row r="49" spans="4:35" s="161" customFormat="1" ht="20.149999999999999" customHeight="1" x14ac:dyDescent="0.25">
      <c r="D49" s="6"/>
      <c r="E49" s="191"/>
      <c r="H49" s="186"/>
      <c r="I49" s="186"/>
      <c r="K49" s="186"/>
      <c r="L49" s="186"/>
      <c r="N49" s="186"/>
      <c r="O49" s="186"/>
      <c r="Q49" s="186"/>
      <c r="R49" s="186"/>
      <c r="T49" s="186"/>
      <c r="U49" s="186"/>
      <c r="V49" s="1466"/>
      <c r="W49" s="186"/>
      <c r="X49" s="186"/>
      <c r="Z49" s="186"/>
      <c r="AA49" s="186"/>
      <c r="AC49" s="186"/>
      <c r="AD49" s="186"/>
      <c r="AF49" s="186"/>
      <c r="AG49" s="186"/>
      <c r="AI49" s="186"/>
    </row>
    <row r="50" spans="4:35" s="161" customFormat="1" ht="20.149999999999999" customHeight="1" x14ac:dyDescent="0.25">
      <c r="D50" s="6"/>
      <c r="E50" s="191"/>
      <c r="H50" s="186"/>
      <c r="N50" s="186"/>
      <c r="O50" s="186"/>
      <c r="Q50" s="186"/>
      <c r="R50" s="186"/>
      <c r="T50" s="186"/>
      <c r="U50" s="186"/>
      <c r="V50" s="1466"/>
      <c r="W50" s="186"/>
      <c r="X50" s="186"/>
      <c r="Z50" s="186"/>
      <c r="AA50" s="186"/>
      <c r="AC50" s="186"/>
      <c r="AD50" s="186"/>
      <c r="AF50" s="186"/>
      <c r="AG50" s="186"/>
      <c r="AI50" s="186"/>
    </row>
  </sheetData>
  <sheetProtection selectLockedCells="1" selectUnlockedCells="1"/>
  <mergeCells count="25">
    <mergeCell ref="B39:AL39"/>
    <mergeCell ref="B40:AL40"/>
    <mergeCell ref="B41:AL41"/>
    <mergeCell ref="B44:AL44"/>
    <mergeCell ref="AE7:AG7"/>
    <mergeCell ref="AH7:AJ7"/>
    <mergeCell ref="B36:AL36"/>
    <mergeCell ref="B37:AL37"/>
    <mergeCell ref="B38:AL38"/>
    <mergeCell ref="M7:O7"/>
    <mergeCell ref="P7:R7"/>
    <mergeCell ref="S7:U7"/>
    <mergeCell ref="V7:X7"/>
    <mergeCell ref="Y7:AA7"/>
    <mergeCell ref="AB7:AD7"/>
    <mergeCell ref="B7:B8"/>
    <mergeCell ref="D7:D8"/>
    <mergeCell ref="E7:E8"/>
    <mergeCell ref="G7:I7"/>
    <mergeCell ref="J7:L7"/>
    <mergeCell ref="B2:AJ2"/>
    <mergeCell ref="B3:AJ3"/>
    <mergeCell ref="B4:AJ4"/>
    <mergeCell ref="B5:AJ5"/>
    <mergeCell ref="B6:AJ6"/>
  </mergeCells>
  <printOptions horizontalCentered="1"/>
  <pageMargins left="0" right="0" top="0.98425196850393704" bottom="0.59055118110236227" header="0" footer="0"/>
  <pageSetup scale="66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00CC"/>
  </sheetPr>
  <dimension ref="B1:R58"/>
  <sheetViews>
    <sheetView showGridLines="0" zoomScaleNormal="100" workbookViewId="0">
      <selection activeCell="B5" sqref="B5:P5"/>
    </sheetView>
  </sheetViews>
  <sheetFormatPr baseColWidth="10" defaultColWidth="11.453125" defaultRowHeight="13" x14ac:dyDescent="0.25"/>
  <cols>
    <col min="1" max="1" width="3.1796875" style="30" customWidth="1"/>
    <col min="2" max="2" width="48.7265625" style="30" customWidth="1"/>
    <col min="3" max="3" width="0.81640625" style="30" customWidth="1"/>
    <col min="4" max="4" width="21.26953125" style="31" customWidth="1"/>
    <col min="5" max="5" width="1" style="30" customWidth="1"/>
    <col min="6" max="6" width="22.7265625" style="30" customWidth="1"/>
    <col min="7" max="7" width="17.7265625" style="30" customWidth="1"/>
    <col min="8" max="8" width="21" style="30" customWidth="1"/>
    <col min="9" max="9" width="19.26953125" style="30" customWidth="1"/>
    <col min="10" max="10" width="22" style="30" customWidth="1"/>
    <col min="11" max="11" width="18.7265625" style="30" customWidth="1"/>
    <col min="12" max="12" width="20.26953125" style="30" customWidth="1"/>
    <col min="13" max="13" width="19.7265625" style="30" customWidth="1"/>
    <col min="14" max="14" width="20.54296875" style="32" customWidth="1"/>
    <col min="15" max="15" width="17" style="32" customWidth="1"/>
    <col min="16" max="16" width="22" style="32" customWidth="1"/>
    <col min="17" max="17" width="11.453125" style="30"/>
    <col min="18" max="18" width="11.7265625" style="30" bestFit="1" customWidth="1"/>
    <col min="19" max="16384" width="11.453125" style="30"/>
  </cols>
  <sheetData>
    <row r="1" spans="2:18" ht="15.5" x14ac:dyDescent="0.25">
      <c r="B1" s="137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9"/>
      <c r="O1" s="1587"/>
      <c r="P1" s="1587"/>
    </row>
    <row r="2" spans="2:18" ht="21" customHeight="1" x14ac:dyDescent="0.25">
      <c r="B2" s="1579" t="s">
        <v>0</v>
      </c>
      <c r="C2" s="1579"/>
      <c r="D2" s="1579"/>
      <c r="E2" s="1579"/>
      <c r="F2" s="1579"/>
      <c r="G2" s="1579"/>
      <c r="H2" s="1579"/>
      <c r="I2" s="1579"/>
      <c r="J2" s="1579"/>
      <c r="K2" s="1579"/>
      <c r="L2" s="1579"/>
      <c r="M2" s="1579"/>
      <c r="N2" s="1579"/>
      <c r="O2" s="1579"/>
      <c r="P2" s="1579"/>
    </row>
    <row r="3" spans="2:18" ht="21" customHeight="1" x14ac:dyDescent="0.25">
      <c r="B3" s="1579" t="s">
        <v>1</v>
      </c>
      <c r="C3" s="1579"/>
      <c r="D3" s="1579"/>
      <c r="E3" s="1579"/>
      <c r="F3" s="1579"/>
      <c r="G3" s="1579"/>
      <c r="H3" s="1579"/>
      <c r="I3" s="1579"/>
      <c r="J3" s="1579"/>
      <c r="K3" s="1579"/>
      <c r="L3" s="1579"/>
      <c r="M3" s="1579"/>
      <c r="N3" s="1579"/>
      <c r="O3" s="1579"/>
      <c r="P3" s="1579"/>
    </row>
    <row r="4" spans="2:18" ht="21" customHeight="1" x14ac:dyDescent="0.25">
      <c r="B4" s="1579" t="s">
        <v>2</v>
      </c>
      <c r="C4" s="1579"/>
      <c r="D4" s="1579"/>
      <c r="E4" s="1579"/>
      <c r="F4" s="1579"/>
      <c r="G4" s="1579"/>
      <c r="H4" s="1579"/>
      <c r="I4" s="1579"/>
      <c r="J4" s="1579"/>
      <c r="K4" s="1579"/>
      <c r="L4" s="1579"/>
      <c r="M4" s="1579"/>
      <c r="N4" s="1579"/>
      <c r="O4" s="1579"/>
      <c r="P4" s="1579"/>
    </row>
    <row r="5" spans="2:18" ht="21" customHeight="1" x14ac:dyDescent="0.25">
      <c r="B5" s="1579" t="s">
        <v>359</v>
      </c>
      <c r="C5" s="1579"/>
      <c r="D5" s="1579"/>
      <c r="E5" s="1579"/>
      <c r="F5" s="1579"/>
      <c r="G5" s="1579"/>
      <c r="H5" s="1579"/>
      <c r="I5" s="1579"/>
      <c r="J5" s="1579"/>
      <c r="K5" s="1579"/>
      <c r="L5" s="1579"/>
      <c r="M5" s="1579"/>
      <c r="N5" s="1579"/>
      <c r="O5" s="1579"/>
      <c r="P5" s="1579"/>
    </row>
    <row r="6" spans="2:18" ht="21" customHeight="1" x14ac:dyDescent="0.25">
      <c r="B6" s="1612" t="s">
        <v>3</v>
      </c>
      <c r="C6" s="1612"/>
      <c r="D6" s="1612"/>
      <c r="E6" s="1612"/>
      <c r="F6" s="1612"/>
      <c r="G6" s="1612"/>
      <c r="H6" s="1612"/>
      <c r="I6" s="1612"/>
      <c r="J6" s="1612"/>
      <c r="K6" s="1612"/>
      <c r="L6" s="1612"/>
      <c r="M6" s="1612"/>
      <c r="N6" s="1612"/>
      <c r="O6" s="1612"/>
      <c r="P6" s="1612"/>
    </row>
    <row r="7" spans="2:18" ht="21" customHeight="1" x14ac:dyDescent="0.25">
      <c r="B7" s="1579" t="s">
        <v>4</v>
      </c>
      <c r="C7" s="1579"/>
      <c r="D7" s="1579"/>
      <c r="E7" s="1579"/>
      <c r="F7" s="1579"/>
      <c r="G7" s="1579"/>
      <c r="H7" s="1579"/>
      <c r="I7" s="1579"/>
      <c r="J7" s="1579"/>
      <c r="K7" s="1579"/>
      <c r="L7" s="1579"/>
      <c r="M7" s="1579"/>
      <c r="N7" s="1579"/>
      <c r="O7" s="1579"/>
      <c r="P7" s="1579"/>
    </row>
    <row r="8" spans="2:18" ht="24" customHeight="1" x14ac:dyDescent="0.25">
      <c r="B8" s="153"/>
      <c r="C8" s="153"/>
      <c r="D8" s="140"/>
      <c r="E8" s="153"/>
      <c r="F8" s="140"/>
      <c r="G8" s="153"/>
      <c r="H8" s="140"/>
      <c r="I8" s="153"/>
      <c r="J8" s="153"/>
      <c r="K8" s="153"/>
      <c r="L8" s="153"/>
      <c r="M8" s="140"/>
      <c r="N8" s="153"/>
      <c r="O8" s="153"/>
      <c r="P8" s="153"/>
    </row>
    <row r="9" spans="2:18" ht="25.5" customHeight="1" x14ac:dyDescent="0.25">
      <c r="B9" s="1588" t="s">
        <v>56</v>
      </c>
      <c r="C9" s="31"/>
      <c r="D9" s="1610" t="s">
        <v>57</v>
      </c>
      <c r="E9" s="31"/>
      <c r="F9" s="1591" t="s">
        <v>59</v>
      </c>
      <c r="G9" s="1591"/>
      <c r="H9" s="1591"/>
      <c r="I9" s="1591"/>
      <c r="J9" s="1591"/>
      <c r="K9" s="1588" t="s">
        <v>63</v>
      </c>
      <c r="L9" s="1588" t="s">
        <v>64</v>
      </c>
      <c r="M9" s="1588" t="s">
        <v>65</v>
      </c>
      <c r="N9" s="1588"/>
      <c r="O9" s="1588"/>
      <c r="P9" s="1588"/>
    </row>
    <row r="10" spans="2:18" ht="45.75" customHeight="1" x14ac:dyDescent="0.25">
      <c r="B10" s="1588"/>
      <c r="C10" s="31"/>
      <c r="D10" s="1610"/>
      <c r="E10" s="31"/>
      <c r="F10" s="1591" t="s">
        <v>58</v>
      </c>
      <c r="G10" s="1588" t="s">
        <v>76</v>
      </c>
      <c r="H10" s="1588" t="s">
        <v>60</v>
      </c>
      <c r="I10" s="1611" t="s">
        <v>61</v>
      </c>
      <c r="J10" s="1611" t="s">
        <v>62</v>
      </c>
      <c r="K10" s="1588"/>
      <c r="L10" s="1588"/>
      <c r="M10" s="1588" t="s">
        <v>66</v>
      </c>
      <c r="N10" s="1588" t="s">
        <v>67</v>
      </c>
      <c r="O10" s="1588" t="s">
        <v>80</v>
      </c>
      <c r="P10" s="1588"/>
    </row>
    <row r="11" spans="2:18" s="5" customFormat="1" ht="45.75" customHeight="1" x14ac:dyDescent="0.25">
      <c r="B11" s="1588"/>
      <c r="C11" s="136"/>
      <c r="D11" s="1610"/>
      <c r="E11" s="136"/>
      <c r="F11" s="1591"/>
      <c r="G11" s="1588"/>
      <c r="H11" s="1588"/>
      <c r="I11" s="1611"/>
      <c r="J11" s="1611"/>
      <c r="K11" s="1588"/>
      <c r="L11" s="1588"/>
      <c r="M11" s="1588"/>
      <c r="N11" s="1588"/>
      <c r="O11" s="154" t="s">
        <v>68</v>
      </c>
      <c r="P11" s="154" t="s">
        <v>69</v>
      </c>
    </row>
    <row r="12" spans="2:18" s="5" customFormat="1" ht="6.75" customHeight="1" x14ac:dyDescent="0.25">
      <c r="B12" s="7"/>
      <c r="C12" s="7"/>
      <c r="D12" s="8"/>
      <c r="E12" s="7"/>
      <c r="N12" s="7"/>
      <c r="O12" s="7"/>
      <c r="P12" s="7"/>
    </row>
    <row r="13" spans="2:18" s="31" customFormat="1" ht="24" customHeight="1" x14ac:dyDescent="0.25">
      <c r="B13" s="9" t="s">
        <v>17</v>
      </c>
      <c r="C13" s="10"/>
      <c r="D13" s="11" t="e">
        <f>D15+D19+D27+D29+D34+D36+D38+D40+D42</f>
        <v>#REF!</v>
      </c>
      <c r="E13" s="10"/>
      <c r="F13" s="11" t="e">
        <f t="shared" ref="F13:N13" si="0">F15+F19+F27+F29+F34+F36+F38+F40+F42</f>
        <v>#REF!</v>
      </c>
      <c r="G13" s="11" t="e">
        <f t="shared" si="0"/>
        <v>#REF!</v>
      </c>
      <c r="H13" s="13">
        <f t="shared" si="0"/>
        <v>3486731887.1100001</v>
      </c>
      <c r="I13" s="11">
        <f t="shared" si="0"/>
        <v>1163250202.96</v>
      </c>
      <c r="J13" s="11">
        <f t="shared" si="0"/>
        <v>2323481684.1500001</v>
      </c>
      <c r="K13" s="11">
        <f t="shared" si="0"/>
        <v>29657534.390000001</v>
      </c>
      <c r="L13" s="11">
        <f t="shared" si="0"/>
        <v>20001099.390000001</v>
      </c>
      <c r="M13" s="13" t="e">
        <f t="shared" si="0"/>
        <v>#REF!</v>
      </c>
      <c r="N13" s="11">
        <f t="shared" si="0"/>
        <v>685.44</v>
      </c>
      <c r="O13" s="11" t="e">
        <f t="shared" ref="O13" si="1">O15+O19+O27+O29+O34+O36+O38+O40+O42</f>
        <v>#REF!</v>
      </c>
      <c r="P13" s="11" t="e">
        <f>P15+P19+P27+P29+P34+P36+P38+P40+P42</f>
        <v>#REF!</v>
      </c>
      <c r="R13" s="31">
        <v>1000000</v>
      </c>
    </row>
    <row r="14" spans="2:18" s="5" customFormat="1" ht="6.75" customHeight="1" x14ac:dyDescent="0.25">
      <c r="B14" s="14"/>
      <c r="C14" s="14"/>
      <c r="D14" s="15"/>
      <c r="E14" s="14"/>
      <c r="G14" s="7"/>
      <c r="I14" s="7"/>
      <c r="J14" s="7"/>
      <c r="K14" s="7"/>
      <c r="L14" s="7"/>
      <c r="N14" s="7"/>
      <c r="O14" s="7"/>
      <c r="P14" s="7"/>
    </row>
    <row r="15" spans="2:18" s="6" customFormat="1" ht="15.5" x14ac:dyDescent="0.25">
      <c r="B15" s="794" t="s">
        <v>52</v>
      </c>
      <c r="C15" s="587"/>
      <c r="D15" s="135">
        <f>SUM(D16:D17)</f>
        <v>5416.29</v>
      </c>
      <c r="E15" s="587"/>
      <c r="F15" s="135">
        <f t="shared" ref="F15:K15" si="2">SUM(F16:F17)</f>
        <v>3313.87</v>
      </c>
      <c r="G15" s="135">
        <f t="shared" si="2"/>
        <v>321.35000000000002</v>
      </c>
      <c r="H15" s="135">
        <f t="shared" si="2"/>
        <v>2992.52</v>
      </c>
      <c r="I15" s="135">
        <f>SUM(I16:I17)</f>
        <v>1194.5899999999999</v>
      </c>
      <c r="J15" s="135">
        <f t="shared" si="2"/>
        <v>1797.93</v>
      </c>
      <c r="K15" s="135">
        <f t="shared" si="2"/>
        <v>124.89</v>
      </c>
      <c r="L15" s="135">
        <f>SUM(L16:L17)</f>
        <v>1099.3900000000001</v>
      </c>
      <c r="M15" s="135">
        <f>SUM(M16:M17)</f>
        <v>878.14</v>
      </c>
      <c r="N15" s="135">
        <f>SUM(N16:N17)</f>
        <v>685.44</v>
      </c>
      <c r="O15" s="135">
        <f>SUM(O16:O17)</f>
        <v>175.85</v>
      </c>
      <c r="P15" s="135">
        <f>SUM(P16:P17)</f>
        <v>16.850000000000001</v>
      </c>
    </row>
    <row r="16" spans="2:18" s="142" customFormat="1" ht="14" x14ac:dyDescent="0.25">
      <c r="B16" s="783" t="s">
        <v>20</v>
      </c>
      <c r="C16" s="795"/>
      <c r="D16" s="785">
        <f>F16+K16+L16+M16</f>
        <v>4257.83</v>
      </c>
      <c r="E16" s="796"/>
      <c r="F16" s="785">
        <f>G16+H16</f>
        <v>2192.7800000000002</v>
      </c>
      <c r="G16" s="785">
        <f>'IVM1'!F11/R13</f>
        <v>65.94</v>
      </c>
      <c r="H16" s="785">
        <f>SUM(I16:J16)</f>
        <v>2126.84</v>
      </c>
      <c r="I16" s="785">
        <f>MIX!F11/R13</f>
        <v>839.74</v>
      </c>
      <c r="J16" s="585">
        <f>(MIX!F42+MIX!F52)/R13</f>
        <v>1287.0999999999999</v>
      </c>
      <c r="K16" s="785">
        <f>RP!F8/R13</f>
        <v>124.89</v>
      </c>
      <c r="L16" s="785">
        <f>EYM!F11/R13</f>
        <v>1099.3900000000001</v>
      </c>
      <c r="M16" s="785">
        <f>SUM(N16:P16)</f>
        <v>840.77</v>
      </c>
      <c r="N16" s="785">
        <f>adm!F54/R13</f>
        <v>685.44</v>
      </c>
      <c r="O16" s="785">
        <f>colec!F12/R13</f>
        <v>142.79</v>
      </c>
      <c r="P16" s="785">
        <f>colec!F32/R13</f>
        <v>12.54</v>
      </c>
    </row>
    <row r="17" spans="2:18" s="142" customFormat="1" ht="14" x14ac:dyDescent="0.25">
      <c r="B17" s="783" t="s">
        <v>21</v>
      </c>
      <c r="C17" s="795"/>
      <c r="D17" s="785">
        <f>F17+K17+L17+M17</f>
        <v>1158.46</v>
      </c>
      <c r="E17" s="796"/>
      <c r="F17" s="785">
        <f>G17+H17</f>
        <v>1121.0899999999999</v>
      </c>
      <c r="G17" s="785">
        <f>'IVM1'!F17/R13</f>
        <v>255.41</v>
      </c>
      <c r="H17" s="785">
        <f>SUM(I17:J17)</f>
        <v>865.68</v>
      </c>
      <c r="I17" s="785">
        <f>MIX!F19/R13</f>
        <v>354.85</v>
      </c>
      <c r="J17" s="785">
        <f>MIX!F57/R13</f>
        <v>510.83</v>
      </c>
      <c r="K17" s="785">
        <v>0</v>
      </c>
      <c r="L17" s="785">
        <v>0</v>
      </c>
      <c r="M17" s="785">
        <f>SUM(N17:P17)</f>
        <v>37.369999999999997</v>
      </c>
      <c r="N17" s="785">
        <v>0</v>
      </c>
      <c r="O17" s="785">
        <f>colec!F21/R13</f>
        <v>33.06</v>
      </c>
      <c r="P17" s="785">
        <f>colec!F41/R13</f>
        <v>4.3099999999999996</v>
      </c>
    </row>
    <row r="18" spans="2:18" ht="9.75" customHeight="1" x14ac:dyDescent="0.25">
      <c r="B18" s="783"/>
      <c r="D18" s="584"/>
      <c r="F18" s="787"/>
      <c r="G18" s="788"/>
      <c r="H18" s="788"/>
      <c r="I18" s="788"/>
      <c r="J18" s="788"/>
      <c r="K18" s="788"/>
      <c r="L18" s="788"/>
      <c r="M18" s="788"/>
      <c r="N18" s="788"/>
      <c r="O18" s="788"/>
      <c r="P18" s="788"/>
    </row>
    <row r="19" spans="2:18" s="6" customFormat="1" ht="20.25" customHeight="1" x14ac:dyDescent="0.25">
      <c r="B19" s="797" t="s">
        <v>22</v>
      </c>
      <c r="C19" s="587"/>
      <c r="D19" s="789" t="e">
        <f>SUM(D20:D25)</f>
        <v>#REF!</v>
      </c>
      <c r="E19" s="587"/>
      <c r="F19" s="789">
        <f t="shared" ref="F19:P19" si="3">SUM(F20:F25)</f>
        <v>3458286948.02</v>
      </c>
      <c r="G19" s="789">
        <f t="shared" si="3"/>
        <v>35929254.170000002</v>
      </c>
      <c r="H19" s="789">
        <f t="shared" si="3"/>
        <v>3422357693.8499999</v>
      </c>
      <c r="I19" s="789">
        <f t="shared" si="3"/>
        <v>1125743451.76</v>
      </c>
      <c r="J19" s="789">
        <f t="shared" si="3"/>
        <v>2296614242.0900002</v>
      </c>
      <c r="K19" s="789">
        <f t="shared" si="3"/>
        <v>29657409.5</v>
      </c>
      <c r="L19" s="789">
        <f t="shared" si="3"/>
        <v>0</v>
      </c>
      <c r="M19" s="789" t="e">
        <f t="shared" si="3"/>
        <v>#REF!</v>
      </c>
      <c r="N19" s="789">
        <f t="shared" si="3"/>
        <v>0</v>
      </c>
      <c r="O19" s="789" t="e">
        <f t="shared" si="3"/>
        <v>#REF!</v>
      </c>
      <c r="P19" s="789" t="e">
        <f t="shared" si="3"/>
        <v>#REF!</v>
      </c>
    </row>
    <row r="20" spans="2:18" s="6" customFormat="1" ht="20.25" customHeight="1" x14ac:dyDescent="0.25">
      <c r="B20" s="783" t="s">
        <v>550</v>
      </c>
      <c r="C20" s="587"/>
      <c r="D20" s="785">
        <f t="shared" ref="D20:D25" si="4">F20+K20+L20+M20</f>
        <v>68.290000000000006</v>
      </c>
      <c r="E20" s="587"/>
      <c r="F20" s="785">
        <f t="shared" ref="F20:F25" si="5">G20+H20</f>
        <v>68.290000000000006</v>
      </c>
      <c r="G20" s="787">
        <v>0</v>
      </c>
      <c r="H20" s="787">
        <f>I20+J20</f>
        <v>68.290000000000006</v>
      </c>
      <c r="I20" s="161">
        <f>24064255.45/R13</f>
        <v>24.06</v>
      </c>
      <c r="J20" s="787">
        <f>44226644.55/R13</f>
        <v>44.23</v>
      </c>
      <c r="K20" s="787">
        <v>0</v>
      </c>
      <c r="L20" s="787">
        <v>0</v>
      </c>
      <c r="M20" s="787">
        <v>0</v>
      </c>
      <c r="N20" s="787">
        <v>0</v>
      </c>
      <c r="O20" s="787">
        <v>0</v>
      </c>
      <c r="P20" s="787">
        <v>0</v>
      </c>
    </row>
    <row r="21" spans="2:18" s="142" customFormat="1" ht="14" x14ac:dyDescent="0.25">
      <c r="B21" s="783" t="s">
        <v>24</v>
      </c>
      <c r="C21" s="784"/>
      <c r="D21" s="785" t="e">
        <f t="shared" si="4"/>
        <v>#REF!</v>
      </c>
      <c r="E21" s="784"/>
      <c r="F21" s="785">
        <f t="shared" si="5"/>
        <v>1137225870</v>
      </c>
      <c r="G21" s="585">
        <f>+RESUMEN!J18</f>
        <v>0</v>
      </c>
      <c r="H21" s="585">
        <f>I21+J21</f>
        <v>1137225870</v>
      </c>
      <c r="I21" s="585">
        <f>+RESUMEN!P18</f>
        <v>382714589.25</v>
      </c>
      <c r="J21" s="585">
        <f>+RESUMEN!S18</f>
        <v>754511280.75</v>
      </c>
      <c r="K21" s="585">
        <v>0</v>
      </c>
      <c r="L21" s="585">
        <v>0</v>
      </c>
      <c r="M21" s="585" t="e">
        <f t="shared" ref="M21:M25" si="6">SUM(N21:P21)</f>
        <v>#REF!</v>
      </c>
      <c r="N21" s="585">
        <v>0</v>
      </c>
      <c r="O21" s="585" t="e">
        <f>+RESUMEN!#REF!</f>
        <v>#REF!</v>
      </c>
      <c r="P21" s="585" t="e">
        <f>+RESUMEN!#REF!</f>
        <v>#REF!</v>
      </c>
    </row>
    <row r="22" spans="2:18" s="142" customFormat="1" ht="14" x14ac:dyDescent="0.25">
      <c r="B22" s="783" t="s">
        <v>25</v>
      </c>
      <c r="C22" s="784"/>
      <c r="D22" s="785" t="e">
        <f t="shared" si="4"/>
        <v>#REF!</v>
      </c>
      <c r="E22" s="784"/>
      <c r="F22" s="785">
        <f t="shared" si="5"/>
        <v>109582371.09</v>
      </c>
      <c r="G22" s="585">
        <f>+RESUMEN!J19</f>
        <v>0</v>
      </c>
      <c r="H22" s="585">
        <f t="shared" ref="H22:H25" si="7">I22+J22</f>
        <v>109582371.09</v>
      </c>
      <c r="I22" s="585">
        <f>+RESUMEN!P19</f>
        <v>40071821.729999997</v>
      </c>
      <c r="J22" s="585">
        <f>+RESUMEN!S19</f>
        <v>69510549.359999999</v>
      </c>
      <c r="K22" s="585">
        <v>0</v>
      </c>
      <c r="L22" s="585">
        <v>0</v>
      </c>
      <c r="M22" s="585" t="e">
        <f t="shared" si="6"/>
        <v>#REF!</v>
      </c>
      <c r="N22" s="585">
        <v>0</v>
      </c>
      <c r="O22" s="585" t="e">
        <f>+RESUMEN!#REF!</f>
        <v>#REF!</v>
      </c>
      <c r="P22" s="585" t="e">
        <f>+RESUMEN!#REF!</f>
        <v>#REF!</v>
      </c>
    </row>
    <row r="23" spans="2:18" s="142" customFormat="1" ht="14" x14ac:dyDescent="0.25">
      <c r="B23" s="783" t="s">
        <v>26</v>
      </c>
      <c r="C23" s="784"/>
      <c r="D23" s="785" t="e">
        <f t="shared" si="4"/>
        <v>#REF!</v>
      </c>
      <c r="E23" s="784"/>
      <c r="F23" s="785">
        <f t="shared" si="5"/>
        <v>1809685916.73</v>
      </c>
      <c r="G23" s="585">
        <f>+RESUMEN!J20</f>
        <v>23974008.25</v>
      </c>
      <c r="H23" s="585">
        <f t="shared" si="7"/>
        <v>1785711908.48</v>
      </c>
      <c r="I23" s="585">
        <f>+RESUMEN!P20</f>
        <v>577494161.02999997</v>
      </c>
      <c r="J23" s="585">
        <f>+RESUMEN!S20</f>
        <v>1208217747.45</v>
      </c>
      <c r="K23" s="585">
        <f>+RESUMEN!AB20</f>
        <v>29657409.5</v>
      </c>
      <c r="L23" s="585">
        <v>0</v>
      </c>
      <c r="M23" s="585" t="e">
        <f t="shared" si="6"/>
        <v>#REF!</v>
      </c>
      <c r="N23" s="585">
        <v>0</v>
      </c>
      <c r="O23" s="585" t="e">
        <f>+RESUMEN!#REF!</f>
        <v>#REF!</v>
      </c>
      <c r="P23" s="585" t="e">
        <f>+RESUMEN!#REF!</f>
        <v>#REF!</v>
      </c>
    </row>
    <row r="24" spans="2:18" s="142" customFormat="1" ht="14" x14ac:dyDescent="0.25">
      <c r="B24" s="783" t="s">
        <v>28</v>
      </c>
      <c r="C24" s="784"/>
      <c r="D24" s="785" t="e">
        <f t="shared" si="4"/>
        <v>#REF!</v>
      </c>
      <c r="E24" s="784"/>
      <c r="F24" s="785">
        <f t="shared" si="5"/>
        <v>201792721.91</v>
      </c>
      <c r="G24" s="585">
        <f>+RESUMEN!J21</f>
        <v>11955245.92</v>
      </c>
      <c r="H24" s="585">
        <f t="shared" si="7"/>
        <v>189837475.99000001</v>
      </c>
      <c r="I24" s="585">
        <f>+RESUMEN!P21</f>
        <v>43962855.689999998</v>
      </c>
      <c r="J24" s="585">
        <f>+RESUMEN!S21</f>
        <v>145874620.30000001</v>
      </c>
      <c r="K24" s="585">
        <v>0</v>
      </c>
      <c r="L24" s="585">
        <v>0</v>
      </c>
      <c r="M24" s="585" t="e">
        <f t="shared" si="6"/>
        <v>#REF!</v>
      </c>
      <c r="N24" s="585">
        <v>0</v>
      </c>
      <c r="O24" s="585" t="e">
        <f>+RESUMEN!#REF!</f>
        <v>#REF!</v>
      </c>
      <c r="P24" s="585" t="e">
        <f>+RESUMEN!#REF!</f>
        <v>#REF!</v>
      </c>
    </row>
    <row r="25" spans="2:18" s="142" customFormat="1" ht="14" x14ac:dyDescent="0.25">
      <c r="B25" s="783" t="s">
        <v>85</v>
      </c>
      <c r="C25" s="784"/>
      <c r="D25" s="785" t="e">
        <f t="shared" si="4"/>
        <v>#REF!</v>
      </c>
      <c r="E25" s="784"/>
      <c r="F25" s="785">
        <f t="shared" si="5"/>
        <v>200000000</v>
      </c>
      <c r="G25" s="585">
        <f>+RESUMEN!J22</f>
        <v>0</v>
      </c>
      <c r="H25" s="585">
        <f t="shared" si="7"/>
        <v>200000000</v>
      </c>
      <c r="I25" s="585">
        <f>+RESUMEN!P22</f>
        <v>81500000</v>
      </c>
      <c r="J25" s="585">
        <f>+RESUMEN!S22</f>
        <v>118500000</v>
      </c>
      <c r="K25" s="585">
        <v>0</v>
      </c>
      <c r="L25" s="585">
        <v>0</v>
      </c>
      <c r="M25" s="585" t="e">
        <f t="shared" si="6"/>
        <v>#REF!</v>
      </c>
      <c r="N25" s="585">
        <v>0</v>
      </c>
      <c r="O25" s="585" t="e">
        <f>+RESUMEN!#REF!</f>
        <v>#REF!</v>
      </c>
      <c r="P25" s="585" t="e">
        <f>+RESUMEN!#REF!</f>
        <v>#REF!</v>
      </c>
    </row>
    <row r="26" spans="2:18" s="142" customFormat="1" ht="12.75" customHeight="1" x14ac:dyDescent="0.25">
      <c r="B26" s="783"/>
      <c r="C26" s="784"/>
      <c r="D26" s="790"/>
      <c r="E26" s="784"/>
      <c r="F26" s="585"/>
      <c r="G26" s="585"/>
      <c r="H26" s="585"/>
      <c r="I26" s="585"/>
      <c r="J26" s="585"/>
      <c r="K26" s="585"/>
      <c r="L26" s="585"/>
      <c r="M26" s="585"/>
      <c r="N26" s="585"/>
      <c r="O26" s="585"/>
      <c r="P26" s="585"/>
    </row>
    <row r="27" spans="2:18" s="142" customFormat="1" ht="16" customHeight="1" x14ac:dyDescent="0.25">
      <c r="B27" s="797" t="s">
        <v>30</v>
      </c>
      <c r="C27" s="784"/>
      <c r="D27" s="584" t="e">
        <f>F27+K27+L27+M27</f>
        <v>#REF!</v>
      </c>
      <c r="E27" s="587"/>
      <c r="F27" s="586">
        <f>G27+H27</f>
        <v>173.7</v>
      </c>
      <c r="G27" s="584">
        <f>'IVM1'!J32/R13</f>
        <v>81.27</v>
      </c>
      <c r="H27" s="584">
        <f>SUM(I27:J27)</f>
        <v>92.43</v>
      </c>
      <c r="I27" s="584">
        <f>MIX!F40/R13</f>
        <v>8</v>
      </c>
      <c r="J27" s="584">
        <f>(MIX!F82+MIX!F84)/R13</f>
        <v>84.43</v>
      </c>
      <c r="K27" s="584">
        <v>0</v>
      </c>
      <c r="L27" s="584">
        <v>0</v>
      </c>
      <c r="M27" s="584" t="e">
        <f>SUM(N27:P27)</f>
        <v>#REF!</v>
      </c>
      <c r="N27" s="584">
        <v>0</v>
      </c>
      <c r="O27" s="584">
        <v>0</v>
      </c>
      <c r="P27" s="584" t="e">
        <f>+RESUMEN!#REF!</f>
        <v>#REF!</v>
      </c>
      <c r="R27" s="142">
        <f>I15+I27</f>
        <v>1202.5899999999999</v>
      </c>
    </row>
    <row r="28" spans="2:18" ht="16" customHeight="1" x14ac:dyDescent="0.25">
      <c r="B28" s="783"/>
      <c r="D28" s="790"/>
      <c r="E28" s="784"/>
      <c r="F28" s="585"/>
      <c r="G28" s="585"/>
      <c r="H28" s="585"/>
      <c r="I28" s="585"/>
      <c r="J28" s="585"/>
      <c r="K28" s="585"/>
      <c r="L28" s="585"/>
      <c r="M28" s="585"/>
      <c r="N28" s="585"/>
      <c r="O28" s="585"/>
      <c r="P28" s="585"/>
      <c r="R28" s="30">
        <f>J15+J27</f>
        <v>1882.36</v>
      </c>
    </row>
    <row r="29" spans="2:18" s="6" customFormat="1" ht="16" customHeight="1" x14ac:dyDescent="0.25">
      <c r="B29" s="797" t="s">
        <v>53</v>
      </c>
      <c r="D29" s="584" t="e">
        <f>SUM(D30:D32)</f>
        <v>#REF!</v>
      </c>
      <c r="E29" s="161"/>
      <c r="F29" s="584">
        <f t="shared" ref="F29:P29" si="8">SUM(F30:F32)</f>
        <v>64371000</v>
      </c>
      <c r="G29" s="584">
        <f t="shared" si="8"/>
        <v>0</v>
      </c>
      <c r="H29" s="584">
        <f t="shared" si="8"/>
        <v>64371000</v>
      </c>
      <c r="I29" s="584">
        <f t="shared" si="8"/>
        <v>37505548.609999999</v>
      </c>
      <c r="J29" s="584">
        <f t="shared" si="8"/>
        <v>26865451.390000001</v>
      </c>
      <c r="K29" s="787">
        <f t="shared" si="8"/>
        <v>0</v>
      </c>
      <c r="L29" s="787">
        <f t="shared" si="8"/>
        <v>20000000</v>
      </c>
      <c r="M29" s="787" t="e">
        <f t="shared" si="8"/>
        <v>#REF!</v>
      </c>
      <c r="N29" s="787">
        <f t="shared" si="8"/>
        <v>0</v>
      </c>
      <c r="O29" s="787">
        <f t="shared" si="8"/>
        <v>0</v>
      </c>
      <c r="P29" s="787" t="e">
        <f t="shared" si="8"/>
        <v>#REF!</v>
      </c>
    </row>
    <row r="30" spans="2:18" s="6" customFormat="1" ht="16" customHeight="1" x14ac:dyDescent="0.25">
      <c r="B30" s="783" t="s">
        <v>87</v>
      </c>
      <c r="D30" s="787" t="e">
        <f>F30+K30+L30+M30</f>
        <v>#REF!</v>
      </c>
      <c r="E30" s="161"/>
      <c r="F30" s="583">
        <f>G30+H30</f>
        <v>0</v>
      </c>
      <c r="G30" s="787">
        <f>+RESUMEN!J27</f>
        <v>0</v>
      </c>
      <c r="H30" s="787">
        <f>SUM(I30:J30)</f>
        <v>0</v>
      </c>
      <c r="I30" s="787">
        <f>+RESUMEN!P27</f>
        <v>0</v>
      </c>
      <c r="J30" s="787">
        <f>+RESUMEN!S27</f>
        <v>0</v>
      </c>
      <c r="K30" s="787">
        <f>+RESUMEN!AB27</f>
        <v>0</v>
      </c>
      <c r="L30" s="787">
        <f>+RESUMEN!AE27</f>
        <v>20000000</v>
      </c>
      <c r="M30" s="787" t="e">
        <f>SUM(N30:P30)</f>
        <v>#REF!</v>
      </c>
      <c r="N30" s="787">
        <f>+RESUMEN!AH27</f>
        <v>0</v>
      </c>
      <c r="O30" s="787">
        <v>0</v>
      </c>
      <c r="P30" s="787" t="e">
        <f>+RESUMEN!#REF!</f>
        <v>#REF!</v>
      </c>
    </row>
    <row r="31" spans="2:18" s="6" customFormat="1" ht="16" customHeight="1" x14ac:dyDescent="0.25">
      <c r="B31" s="783" t="s">
        <v>88</v>
      </c>
      <c r="D31" s="787" t="e">
        <f>F31+K31+L31+M31</f>
        <v>#REF!</v>
      </c>
      <c r="E31" s="161"/>
      <c r="F31" s="583">
        <f>G31+H31</f>
        <v>34371000</v>
      </c>
      <c r="G31" s="787">
        <f>+RESUMEN!J28</f>
        <v>0</v>
      </c>
      <c r="H31" s="787">
        <f>SUM(I31:J31)</f>
        <v>34371000</v>
      </c>
      <c r="I31" s="787">
        <f>+RESUMEN!P28</f>
        <v>26407020</v>
      </c>
      <c r="J31" s="787">
        <f>+RESUMEN!S28</f>
        <v>7963980</v>
      </c>
      <c r="K31" s="787">
        <f>+RESUMEN!AB28</f>
        <v>0</v>
      </c>
      <c r="L31" s="787">
        <f>+RESUMEN!AE28</f>
        <v>0</v>
      </c>
      <c r="M31" s="787" t="e">
        <f>SUM(N31:P31)</f>
        <v>#REF!</v>
      </c>
      <c r="N31" s="787">
        <f>+RESUMEN!AH28</f>
        <v>0</v>
      </c>
      <c r="O31" s="787">
        <v>0</v>
      </c>
      <c r="P31" s="787" t="e">
        <f>+RESUMEN!#REF!</f>
        <v>#REF!</v>
      </c>
    </row>
    <row r="32" spans="2:18" s="6" customFormat="1" ht="16" customHeight="1" x14ac:dyDescent="0.25">
      <c r="B32" s="783" t="s">
        <v>89</v>
      </c>
      <c r="D32" s="787" t="e">
        <f>F32+K32+L32+M32</f>
        <v>#REF!</v>
      </c>
      <c r="E32" s="161"/>
      <c r="F32" s="583">
        <f>G32+H32</f>
        <v>30000000</v>
      </c>
      <c r="G32" s="787">
        <f>+RESUMEN!J31</f>
        <v>0</v>
      </c>
      <c r="H32" s="787">
        <f>SUM(I32:J32)</f>
        <v>30000000</v>
      </c>
      <c r="I32" s="787">
        <f>+RESUMEN!P31</f>
        <v>11098528.609999999</v>
      </c>
      <c r="J32" s="787">
        <f>+RESUMEN!S31</f>
        <v>18901471.390000001</v>
      </c>
      <c r="K32" s="787">
        <f>+RESUMEN!AB31</f>
        <v>0</v>
      </c>
      <c r="L32" s="787">
        <f>+RESUMEN!AE31</f>
        <v>0</v>
      </c>
      <c r="M32" s="787" t="e">
        <f>SUM(N32:P32)</f>
        <v>#REF!</v>
      </c>
      <c r="N32" s="787">
        <f>+RESUMEN!AH31</f>
        <v>0</v>
      </c>
      <c r="O32" s="787">
        <v>0</v>
      </c>
      <c r="P32" s="787" t="e">
        <f>+RESUMEN!#REF!</f>
        <v>#REF!</v>
      </c>
    </row>
    <row r="33" spans="2:16" s="6" customFormat="1" ht="16" customHeight="1" x14ac:dyDescent="0.25">
      <c r="B33" s="797"/>
      <c r="D33" s="787"/>
      <c r="E33" s="161"/>
      <c r="F33" s="787"/>
      <c r="G33" s="585"/>
      <c r="H33" s="787"/>
      <c r="I33" s="585"/>
      <c r="J33" s="585"/>
      <c r="K33" s="585"/>
      <c r="L33" s="585"/>
      <c r="M33" s="585"/>
      <c r="N33" s="585"/>
      <c r="O33" s="585"/>
      <c r="P33" s="585"/>
    </row>
    <row r="34" spans="2:16" s="6" customFormat="1" ht="16" customHeight="1" x14ac:dyDescent="0.25">
      <c r="B34" s="797" t="s">
        <v>54</v>
      </c>
      <c r="D34" s="787" t="e">
        <f>F34+K34+L34+M34</f>
        <v>#REF!</v>
      </c>
      <c r="E34" s="161"/>
      <c r="F34" s="583">
        <f>G34+H34</f>
        <v>0</v>
      </c>
      <c r="G34" s="787">
        <v>0</v>
      </c>
      <c r="H34" s="787">
        <f>SUM(I34:J34)</f>
        <v>0</v>
      </c>
      <c r="I34" s="787">
        <v>0</v>
      </c>
      <c r="J34" s="787">
        <v>0</v>
      </c>
      <c r="K34" s="787">
        <v>0</v>
      </c>
      <c r="L34" s="787">
        <v>0</v>
      </c>
      <c r="M34" s="787" t="e">
        <f>SUM(N34:P34)</f>
        <v>#REF!</v>
      </c>
      <c r="N34" s="787">
        <v>0</v>
      </c>
      <c r="O34" s="787">
        <v>0</v>
      </c>
      <c r="P34" s="787" t="e">
        <f>+RESUMEN!#REF!</f>
        <v>#REF!</v>
      </c>
    </row>
    <row r="35" spans="2:16" s="142" customFormat="1" ht="16" customHeight="1" x14ac:dyDescent="0.25">
      <c r="B35" s="783"/>
      <c r="C35" s="158"/>
      <c r="D35" s="584"/>
      <c r="E35" s="158"/>
      <c r="F35" s="787"/>
      <c r="G35" s="585"/>
      <c r="H35" s="585"/>
      <c r="I35" s="585"/>
      <c r="J35" s="585"/>
      <c r="K35" s="585"/>
      <c r="L35" s="585"/>
      <c r="M35" s="585"/>
      <c r="N35" s="585"/>
      <c r="O35" s="585"/>
      <c r="P35" s="585"/>
    </row>
    <row r="36" spans="2:16" s="6" customFormat="1" ht="16" customHeight="1" x14ac:dyDescent="0.25">
      <c r="B36" s="797" t="s">
        <v>32</v>
      </c>
      <c r="D36" s="584">
        <v>33.74</v>
      </c>
      <c r="E36" s="161"/>
      <c r="F36" s="586" t="e">
        <f>G36+H36</f>
        <v>#REF!</v>
      </c>
      <c r="G36" s="584" t="e">
        <f>+RESUMEN!#REF!</f>
        <v>#REF!</v>
      </c>
      <c r="H36" s="787">
        <f>SUM(I36:J36)</f>
        <v>33.74</v>
      </c>
      <c r="I36" s="787">
        <v>0</v>
      </c>
      <c r="J36" s="584">
        <v>33.74</v>
      </c>
      <c r="K36" s="787">
        <v>0</v>
      </c>
      <c r="L36" s="787">
        <v>0</v>
      </c>
      <c r="M36" s="787" t="e">
        <f>SUM(N36:P36)</f>
        <v>#REF!</v>
      </c>
      <c r="N36" s="787">
        <v>0</v>
      </c>
      <c r="O36" s="787">
        <v>0</v>
      </c>
      <c r="P36" s="787" t="e">
        <f>+RESUMEN!#REF!</f>
        <v>#REF!</v>
      </c>
    </row>
    <row r="37" spans="2:16" s="142" customFormat="1" ht="16" customHeight="1" x14ac:dyDescent="0.25">
      <c r="B37" s="783"/>
      <c r="C37" s="158"/>
      <c r="D37" s="584"/>
      <c r="E37" s="158"/>
      <c r="F37" s="787"/>
      <c r="G37" s="585"/>
      <c r="H37" s="791"/>
      <c r="I37" s="585"/>
      <c r="J37" s="585"/>
      <c r="K37" s="585"/>
      <c r="L37" s="585"/>
      <c r="M37" s="585"/>
      <c r="N37" s="585"/>
      <c r="O37" s="585"/>
      <c r="P37" s="585"/>
    </row>
    <row r="38" spans="2:16" s="6" customFormat="1" ht="16" customHeight="1" x14ac:dyDescent="0.25">
      <c r="B38" s="797" t="s">
        <v>33</v>
      </c>
      <c r="D38" s="787" t="e">
        <f>F38+K38+L38+M38</f>
        <v>#REF!</v>
      </c>
      <c r="E38" s="161"/>
      <c r="F38" s="583">
        <f>G38+H38</f>
        <v>0</v>
      </c>
      <c r="G38" s="787">
        <v>0</v>
      </c>
      <c r="H38" s="787">
        <f>SUM(I38:J38)</f>
        <v>0</v>
      </c>
      <c r="I38" s="787">
        <v>0</v>
      </c>
      <c r="J38" s="787">
        <v>0</v>
      </c>
      <c r="K38" s="787">
        <v>0</v>
      </c>
      <c r="L38" s="787">
        <v>0</v>
      </c>
      <c r="M38" s="787" t="e">
        <f>SUM(N38:P38)</f>
        <v>#REF!</v>
      </c>
      <c r="N38" s="787">
        <v>0</v>
      </c>
      <c r="O38" s="787">
        <v>0</v>
      </c>
      <c r="P38" s="787" t="e">
        <f>+RESUMEN!#REF!</f>
        <v>#REF!</v>
      </c>
    </row>
    <row r="39" spans="2:16" s="6" customFormat="1" ht="16" customHeight="1" x14ac:dyDescent="0.25">
      <c r="B39" s="797"/>
      <c r="D39" s="584"/>
      <c r="E39" s="161"/>
      <c r="F39" s="787"/>
      <c r="G39" s="787"/>
      <c r="H39" s="792"/>
      <c r="I39" s="787"/>
      <c r="J39" s="787"/>
      <c r="K39" s="787"/>
      <c r="L39" s="787"/>
      <c r="M39" s="787"/>
      <c r="N39" s="787"/>
      <c r="O39" s="787"/>
      <c r="P39" s="787"/>
    </row>
    <row r="40" spans="2:16" s="6" customFormat="1" ht="16" customHeight="1" x14ac:dyDescent="0.25">
      <c r="B40" s="797" t="s">
        <v>34</v>
      </c>
      <c r="D40" s="584">
        <v>44.49</v>
      </c>
      <c r="E40" s="161"/>
      <c r="F40" s="586" t="e">
        <f>G40+H40</f>
        <v>#REF!</v>
      </c>
      <c r="G40" s="584" t="e">
        <f>+RESUMEN!#REF!</f>
        <v>#REF!</v>
      </c>
      <c r="H40" s="787">
        <f>SUM(I40:J40)</f>
        <v>44.49</v>
      </c>
      <c r="I40" s="787">
        <v>0</v>
      </c>
      <c r="J40" s="584">
        <v>44.49</v>
      </c>
      <c r="K40" s="787">
        <v>0</v>
      </c>
      <c r="L40" s="787">
        <v>0</v>
      </c>
      <c r="M40" s="787" t="e">
        <f>SUM(N40:P40)</f>
        <v>#REF!</v>
      </c>
      <c r="N40" s="787">
        <v>0</v>
      </c>
      <c r="O40" s="787">
        <v>0</v>
      </c>
      <c r="P40" s="787" t="e">
        <f>+RESUMEN!#REF!</f>
        <v>#REF!</v>
      </c>
    </row>
    <row r="41" spans="2:16" s="6" customFormat="1" ht="16" customHeight="1" x14ac:dyDescent="0.25">
      <c r="B41" s="797"/>
      <c r="D41" s="584"/>
      <c r="E41" s="161"/>
      <c r="F41" s="787"/>
      <c r="G41" s="787"/>
      <c r="H41" s="792"/>
      <c r="I41" s="787"/>
      <c r="J41" s="787"/>
      <c r="K41" s="787"/>
      <c r="L41" s="787"/>
      <c r="M41" s="787"/>
      <c r="N41" s="787"/>
      <c r="O41" s="787"/>
      <c r="P41" s="787"/>
    </row>
    <row r="42" spans="2:16" s="6" customFormat="1" ht="16" customHeight="1" x14ac:dyDescent="0.25">
      <c r="B42" s="797" t="s">
        <v>55</v>
      </c>
      <c r="D42" s="584">
        <v>30.08</v>
      </c>
      <c r="E42" s="161"/>
      <c r="F42" s="586" t="e">
        <f>G42+H42</f>
        <v>#REF!</v>
      </c>
      <c r="G42" s="584" t="e">
        <f>+RESUMEN!#REF!</f>
        <v>#REF!</v>
      </c>
      <c r="H42" s="787">
        <f>SUM(I42:J42)</f>
        <v>30.08</v>
      </c>
      <c r="I42" s="787">
        <v>0</v>
      </c>
      <c r="J42" s="584">
        <v>30.08</v>
      </c>
      <c r="K42" s="787">
        <v>0</v>
      </c>
      <c r="L42" s="787">
        <v>0</v>
      </c>
      <c r="M42" s="787" t="e">
        <f>SUM(N42:P42)</f>
        <v>#REF!</v>
      </c>
      <c r="N42" s="787">
        <v>0</v>
      </c>
      <c r="O42" s="787">
        <v>0</v>
      </c>
      <c r="P42" s="787" t="e">
        <f>+RESUMEN!#REF!</f>
        <v>#REF!</v>
      </c>
    </row>
    <row r="43" spans="2:16" s="6" customFormat="1" ht="8.15" customHeight="1" x14ac:dyDescent="0.25">
      <c r="B43" s="797"/>
      <c r="D43" s="793"/>
      <c r="F43" s="793"/>
      <c r="G43" s="793"/>
      <c r="H43" s="793"/>
      <c r="I43" s="793"/>
      <c r="J43" s="793"/>
      <c r="K43" s="793"/>
      <c r="L43" s="793"/>
      <c r="M43" s="793"/>
      <c r="N43" s="793"/>
      <c r="O43" s="793"/>
      <c r="P43" s="793"/>
    </row>
    <row r="44" spans="2:16" ht="25" customHeight="1" x14ac:dyDescent="0.25">
      <c r="B44" s="798" t="s">
        <v>70</v>
      </c>
      <c r="C44" s="158"/>
      <c r="D44" s="799">
        <v>9162.52</v>
      </c>
      <c r="N44" s="30"/>
      <c r="O44" s="30"/>
      <c r="P44" s="30"/>
    </row>
    <row r="45" spans="2:16" ht="2.25" customHeight="1" x14ac:dyDescent="0.25">
      <c r="N45" s="30"/>
      <c r="O45" s="30"/>
      <c r="P45" s="30"/>
    </row>
    <row r="46" spans="2:16" s="161" customFormat="1" ht="20.149999999999999" customHeight="1" x14ac:dyDescent="0.25">
      <c r="B46" s="161" t="s">
        <v>71</v>
      </c>
      <c r="D46" s="6"/>
    </row>
    <row r="47" spans="2:16" s="161" customFormat="1" ht="20.149999999999999" customHeight="1" x14ac:dyDescent="0.25">
      <c r="B47" s="163" t="s">
        <v>77</v>
      </c>
      <c r="D47" s="6"/>
    </row>
    <row r="48" spans="2:16" s="161" customFormat="1" ht="20.149999999999999" customHeight="1" x14ac:dyDescent="0.25">
      <c r="B48" s="163" t="s">
        <v>72</v>
      </c>
      <c r="D48" s="6"/>
    </row>
    <row r="49" spans="2:16" s="161" customFormat="1" ht="20.149999999999999" customHeight="1" x14ac:dyDescent="0.25">
      <c r="B49" s="163" t="s">
        <v>81</v>
      </c>
      <c r="D49" s="6"/>
    </row>
    <row r="50" spans="2:16" s="158" customFormat="1" ht="10" customHeight="1" x14ac:dyDescent="0.25">
      <c r="D50" s="142"/>
    </row>
    <row r="51" spans="2:16" s="161" customFormat="1" ht="20.149999999999999" customHeight="1" x14ac:dyDescent="0.25">
      <c r="B51" s="161" t="s">
        <v>74</v>
      </c>
      <c r="D51" s="6"/>
    </row>
    <row r="52" spans="2:16" s="161" customFormat="1" ht="20.149999999999999" customHeight="1" x14ac:dyDescent="0.25">
      <c r="B52" s="163" t="s">
        <v>78</v>
      </c>
      <c r="D52" s="6"/>
    </row>
    <row r="53" spans="2:16" s="161" customFormat="1" ht="20.149999999999999" customHeight="1" x14ac:dyDescent="0.25">
      <c r="B53" s="163" t="s">
        <v>75</v>
      </c>
      <c r="D53" s="6"/>
      <c r="N53" s="162"/>
      <c r="O53" s="162"/>
      <c r="P53" s="162"/>
    </row>
    <row r="54" spans="2:16" s="161" customFormat="1" ht="20.149999999999999" customHeight="1" x14ac:dyDescent="0.25">
      <c r="B54" s="163" t="s">
        <v>73</v>
      </c>
      <c r="D54" s="6"/>
      <c r="N54" s="162"/>
      <c r="O54" s="162"/>
      <c r="P54" s="162"/>
    </row>
    <row r="55" spans="2:16" s="161" customFormat="1" ht="20.149999999999999" customHeight="1" x14ac:dyDescent="0.25">
      <c r="B55" s="163" t="s">
        <v>79</v>
      </c>
      <c r="D55" s="6"/>
      <c r="N55" s="162"/>
      <c r="O55" s="162"/>
      <c r="P55" s="162"/>
    </row>
    <row r="56" spans="2:16" s="158" customFormat="1" ht="10" customHeight="1" x14ac:dyDescent="0.25">
      <c r="B56" s="160"/>
      <c r="D56" s="142"/>
      <c r="N56" s="159"/>
      <c r="O56" s="159"/>
      <c r="P56" s="159"/>
    </row>
    <row r="57" spans="2:16" s="161" customFormat="1" ht="20.149999999999999" customHeight="1" x14ac:dyDescent="0.25">
      <c r="B57" s="163" t="s">
        <v>552</v>
      </c>
      <c r="D57" s="6"/>
      <c r="N57" s="162"/>
      <c r="O57" s="162"/>
      <c r="P57" s="162"/>
    </row>
    <row r="58" spans="2:16" s="161" customFormat="1" ht="20.149999999999999" customHeight="1" x14ac:dyDescent="0.25">
      <c r="B58" s="163" t="s">
        <v>551</v>
      </c>
      <c r="D58" s="6"/>
      <c r="N58" s="162"/>
      <c r="O58" s="162"/>
      <c r="P58" s="162"/>
    </row>
  </sheetData>
  <sheetProtection selectLockedCells="1" selectUnlockedCells="1"/>
  <mergeCells count="21">
    <mergeCell ref="B6:P6"/>
    <mergeCell ref="B7:P7"/>
    <mergeCell ref="O1:P1"/>
    <mergeCell ref="B2:P2"/>
    <mergeCell ref="B3:P3"/>
    <mergeCell ref="B4:P4"/>
    <mergeCell ref="B5:P5"/>
    <mergeCell ref="M9:P9"/>
    <mergeCell ref="M10:M11"/>
    <mergeCell ref="N10:N11"/>
    <mergeCell ref="O10:P10"/>
    <mergeCell ref="B9:B11"/>
    <mergeCell ref="D9:D11"/>
    <mergeCell ref="F9:J9"/>
    <mergeCell ref="K9:K11"/>
    <mergeCell ref="L9:L11"/>
    <mergeCell ref="F10:F11"/>
    <mergeCell ref="G10:G11"/>
    <mergeCell ref="H10:H11"/>
    <mergeCell ref="I10:I11"/>
    <mergeCell ref="J10:J11"/>
  </mergeCells>
  <printOptions horizontalCentered="1" verticalCentered="1"/>
  <pageMargins left="0" right="0" top="0.23622047244094491" bottom="0" header="0" footer="0"/>
  <pageSetup scale="57" firstPageNumber="0" orientation="landscape" r:id="rId1"/>
  <headerFooter alignWithMargins="0"/>
  <ignoredErrors>
    <ignoredError sqref="H27 H34 H36 H38 H40 H42 H16:H17" formulaRange="1"/>
    <ignoredError sqref="G21:G23 G24:G2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43</vt:i4>
      </vt:variant>
      <vt:variant>
        <vt:lpstr>Rangos con nombre</vt:lpstr>
      </vt:variant>
      <vt:variant>
        <vt:i4>11</vt:i4>
      </vt:variant>
    </vt:vector>
  </HeadingPairs>
  <TitlesOfParts>
    <vt:vector size="54" baseType="lpstr">
      <vt:lpstr>CSS-RENDIMIENTO % ju22</vt:lpstr>
      <vt:lpstr>RESUMEN</vt:lpstr>
      <vt:lpstr>SUBS EXCLUSIVO</vt:lpstr>
      <vt:lpstr>SUBSISTEMA MIXTO</vt:lpstr>
      <vt:lpstr>SEGUROS COLECTIVOS</vt:lpstr>
      <vt:lpstr>R. PROFESIONALES</vt:lpstr>
      <vt:lpstr>ENF Y MATERNIDAD</vt:lpstr>
      <vt:lpstr>G. ADMINISTRATIVA</vt:lpstr>
      <vt:lpstr>CSS-SALDO ju22</vt:lpstr>
      <vt:lpstr>CSS-REND</vt:lpstr>
      <vt:lpstr>GESTION</vt:lpstr>
      <vt:lpstr>IVM</vt:lpstr>
      <vt:lpstr>MIXTO</vt:lpstr>
      <vt:lpstr>RP</vt:lpstr>
      <vt:lpstr>IVM1</vt:lpstr>
      <vt:lpstr>EYM</vt:lpstr>
      <vt:lpstr>MIX</vt:lpstr>
      <vt:lpstr>adm</vt:lpstr>
      <vt:lpstr>colec</vt:lpstr>
      <vt:lpstr>Hoja5</vt:lpstr>
      <vt:lpstr>rs</vt:lpstr>
      <vt:lpstr>ms</vt:lpstr>
      <vt:lpstr>is</vt:lpstr>
      <vt:lpstr>matsept</vt:lpstr>
      <vt:lpstr>msept</vt:lpstr>
      <vt:lpstr>Hoja8</vt:lpstr>
      <vt:lpstr>rpsept</vt:lpstr>
      <vt:lpstr>ivmsep</vt:lpstr>
      <vt:lpstr>cuadre</vt:lpstr>
      <vt:lpstr>Hoja11</vt:lpstr>
      <vt:lpstr>Hoja10</vt:lpstr>
      <vt:lpstr>Hoja9</vt:lpstr>
      <vt:lpstr>overnight</vt:lpstr>
      <vt:lpstr>Hoja1</vt:lpstr>
      <vt:lpstr>CSS-SADLDO</vt:lpstr>
      <vt:lpstr>rp23</vt:lpstr>
      <vt:lpstr>em23</vt:lpstr>
      <vt:lpstr>ivm23</vt:lpstr>
      <vt:lpstr>m</vt:lpstr>
      <vt:lpstr>Hoja3</vt:lpstr>
      <vt:lpstr>Hoja4</vt:lpstr>
      <vt:lpstr>Hoja2</vt:lpstr>
      <vt:lpstr>Hoja6</vt:lpstr>
      <vt:lpstr>'CSS-REND'!Área_de_impresión</vt:lpstr>
      <vt:lpstr>'CSS-RENDIMIENTO % ju22'!Área_de_impresión</vt:lpstr>
      <vt:lpstr>'CSS-SADLDO'!Área_de_impresión</vt:lpstr>
      <vt:lpstr>'CSS-SALDO ju22'!Área_de_impresión</vt:lpstr>
      <vt:lpstr>'ENF Y MATERNIDAD'!Área_de_impresión</vt:lpstr>
      <vt:lpstr>'G. ADMINISTRATIVA'!Área_de_impresión</vt:lpstr>
      <vt:lpstr>'R. PROFESIONALES'!Área_de_impresión</vt:lpstr>
      <vt:lpstr>RESUMEN!Área_de_impresión</vt:lpstr>
      <vt:lpstr>'SEGUROS COLECTIVOS'!Área_de_impresión</vt:lpstr>
      <vt:lpstr>'SUBS EXCLUSIVO'!Área_de_impresión</vt:lpstr>
      <vt:lpstr>'SUBSISTEMA MIXTO'!Área_de_impresión</vt:lpstr>
    </vt:vector>
  </TitlesOfParts>
  <Company>CSS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Diaz Camarena, Sully Margarita</dc:creator>
  <cp:lastModifiedBy>César Herrera</cp:lastModifiedBy>
  <cp:lastPrinted>2024-08-19T21:22:55Z</cp:lastPrinted>
  <dcterms:created xsi:type="dcterms:W3CDTF">2021-11-18T18:05:09Z</dcterms:created>
  <dcterms:modified xsi:type="dcterms:W3CDTF">2024-09-12T12:53:19Z</dcterms:modified>
</cp:coreProperties>
</file>