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guevara\Documents\CUENTAS POR PAGAR 2024\"/>
    </mc:Choice>
  </mc:AlternateContent>
  <xr:revisionPtr revIDLastSave="0" documentId="13_ncr:1_{D287EB49-56EE-4B0B-B956-D9668A840A9B}" xr6:coauthVersionLast="47" xr6:coauthVersionMax="47" xr10:uidLastSave="{00000000-0000-0000-0000-000000000000}"/>
  <bookViews>
    <workbookView xWindow="-120" yWindow="-120" windowWidth="20730" windowHeight="11160" xr2:uid="{22A0C296-53AB-4C4F-835B-D03DAE3E7A23}"/>
  </bookViews>
  <sheets>
    <sheet name="CXC-AGOSTO 2024+INT.XMO" sheetId="13" r:id="rId1"/>
  </sheets>
  <definedNames>
    <definedName name="_xlnm.Print_Area" localSheetId="0">'CXC-AGOSTO 2024+INT.XMO'!$A$2:$BS$86</definedName>
    <definedName name="_xlnm.Print_Titles" localSheetId="0">'CXC-AGOSTO 2024+INT.XMO'!$2:$9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43" i="13" l="1"/>
  <c r="BM36" i="13"/>
  <c r="BM37" i="13"/>
  <c r="BM34" i="13"/>
  <c r="BM35" i="13"/>
  <c r="BM33" i="13"/>
  <c r="BM29" i="13"/>
  <c r="BM28" i="13"/>
  <c r="BM27" i="13"/>
  <c r="BM46" i="13"/>
  <c r="BM53" i="13"/>
  <c r="BM57" i="13"/>
  <c r="BM56" i="13"/>
  <c r="BM55" i="13"/>
  <c r="BM52" i="13"/>
  <c r="BM51" i="13"/>
  <c r="BM50" i="13"/>
  <c r="BM48" i="13"/>
  <c r="BL60" i="13"/>
  <c r="BL61" i="13"/>
  <c r="BL64" i="13"/>
  <c r="BL63" i="13"/>
  <c r="BL62" i="13"/>
  <c r="BL59" i="13"/>
  <c r="BL58" i="13"/>
  <c r="BN23" i="13"/>
  <c r="BN16" i="13"/>
  <c r="BN15" i="13"/>
  <c r="BM17" i="13"/>
  <c r="BM22" i="13"/>
  <c r="BI64" i="13" l="1"/>
  <c r="BF64" i="13"/>
  <c r="AS64" i="13"/>
  <c r="AF64" i="13"/>
  <c r="S64" i="13"/>
  <c r="F64" i="13"/>
  <c r="BI63" i="13"/>
  <c r="BF63" i="13" s="1"/>
  <c r="AS63" i="13"/>
  <c r="AF63" i="13"/>
  <c r="S63" i="13"/>
  <c r="F63" i="13"/>
  <c r="BF62" i="13"/>
  <c r="AS62" i="13"/>
  <c r="AF62" i="13"/>
  <c r="E62" i="13" s="1"/>
  <c r="S62" i="13"/>
  <c r="F62" i="13"/>
  <c r="BF61" i="13"/>
  <c r="AS61" i="13"/>
  <c r="AF61" i="13"/>
  <c r="S61" i="13"/>
  <c r="F61" i="13"/>
  <c r="E61" i="13" s="1"/>
  <c r="D61" i="13" s="1"/>
  <c r="BF60" i="13"/>
  <c r="BD60" i="13"/>
  <c r="BA60" i="13"/>
  <c r="BA45" i="13" s="1"/>
  <c r="AX60" i="13"/>
  <c r="AF60" i="13"/>
  <c r="AB60" i="13"/>
  <c r="S60" i="13"/>
  <c r="F60" i="13"/>
  <c r="BF59" i="13"/>
  <c r="BD59" i="13"/>
  <c r="AS59" i="13" s="1"/>
  <c r="AF59" i="13"/>
  <c r="E59" i="13" s="1"/>
  <c r="D59" i="13" s="1"/>
  <c r="AB59" i="13"/>
  <c r="S59" i="13" s="1"/>
  <c r="F59" i="13"/>
  <c r="BI58" i="13"/>
  <c r="BF58" i="13" s="1"/>
  <c r="AS58" i="13"/>
  <c r="AF58" i="13"/>
  <c r="S58" i="13"/>
  <c r="E58" i="13" s="1"/>
  <c r="F58" i="13"/>
  <c r="BL57" i="13"/>
  <c r="BF57" i="13"/>
  <c r="AS57" i="13"/>
  <c r="AQ57" i="13"/>
  <c r="AF57" i="13"/>
  <c r="AB57" i="13"/>
  <c r="AA57" i="13"/>
  <c r="Y57" i="13"/>
  <c r="F57" i="13"/>
  <c r="BL56" i="13"/>
  <c r="BF56" i="13" s="1"/>
  <c r="AS56" i="13"/>
  <c r="AF56" i="13"/>
  <c r="S56" i="13"/>
  <c r="F56" i="13"/>
  <c r="BL55" i="13"/>
  <c r="AS55" i="13"/>
  <c r="AF55" i="13"/>
  <c r="S55" i="13"/>
  <c r="F55" i="13"/>
  <c r="BL54" i="13"/>
  <c r="BF54" i="13" s="1"/>
  <c r="AS54" i="13"/>
  <c r="AF54" i="13"/>
  <c r="AB54" i="13"/>
  <c r="S54" i="13"/>
  <c r="F54" i="13"/>
  <c r="E54" i="13" s="1"/>
  <c r="BL53" i="13"/>
  <c r="BF53" i="13"/>
  <c r="AS53" i="13"/>
  <c r="AF53" i="13"/>
  <c r="AB53" i="13"/>
  <c r="S53" i="13" s="1"/>
  <c r="F53" i="13"/>
  <c r="BL52" i="13"/>
  <c r="BF52" i="13" s="1"/>
  <c r="AS52" i="13"/>
  <c r="AF52" i="13"/>
  <c r="AB52" i="13"/>
  <c r="S52" i="13" s="1"/>
  <c r="F52" i="13"/>
  <c r="BL51" i="13"/>
  <c r="BF51" i="13"/>
  <c r="AS51" i="13"/>
  <c r="AF51" i="13"/>
  <c r="AB51" i="13"/>
  <c r="S51" i="13"/>
  <c r="F51" i="13"/>
  <c r="BL50" i="13"/>
  <c r="BF50" i="13" s="1"/>
  <c r="AS50" i="13"/>
  <c r="AF50" i="13"/>
  <c r="AB50" i="13"/>
  <c r="S50" i="13" s="1"/>
  <c r="E50" i="13" s="1"/>
  <c r="F50" i="13"/>
  <c r="BL49" i="13"/>
  <c r="BF49" i="13"/>
  <c r="AS49" i="13"/>
  <c r="AF49" i="13"/>
  <c r="AB49" i="13"/>
  <c r="S49" i="13"/>
  <c r="F49" i="13"/>
  <c r="E49" i="13" s="1"/>
  <c r="D49" i="13" s="1"/>
  <c r="BL48" i="13"/>
  <c r="AS48" i="13"/>
  <c r="AF48" i="13"/>
  <c r="AB48" i="13"/>
  <c r="S48" i="13" s="1"/>
  <c r="E48" i="13" s="1"/>
  <c r="F48" i="13"/>
  <c r="BL47" i="13"/>
  <c r="BF47" i="13"/>
  <c r="AS47" i="13"/>
  <c r="AF47" i="13"/>
  <c r="AB47" i="13"/>
  <c r="S47" i="13"/>
  <c r="F47" i="13"/>
  <c r="E47" i="13" s="1"/>
  <c r="BL46" i="13"/>
  <c r="BF46" i="13"/>
  <c r="AS46" i="13"/>
  <c r="AF46" i="13"/>
  <c r="AB46" i="13"/>
  <c r="AA46" i="13"/>
  <c r="F46" i="13"/>
  <c r="BR45" i="13"/>
  <c r="BQ45" i="13"/>
  <c r="BP45" i="13"/>
  <c r="BO45" i="13"/>
  <c r="BN45" i="13"/>
  <c r="BM45" i="13"/>
  <c r="BJ45" i="13"/>
  <c r="BH45" i="13"/>
  <c r="BG45" i="13"/>
  <c r="BE45" i="13"/>
  <c r="BC45" i="13"/>
  <c r="BB45" i="13"/>
  <c r="AZ45" i="13"/>
  <c r="AY45" i="13"/>
  <c r="AW45" i="13"/>
  <c r="AV45" i="13"/>
  <c r="AU45" i="13"/>
  <c r="AT45" i="13"/>
  <c r="AR45" i="13"/>
  <c r="AQ45" i="13"/>
  <c r="AP45" i="13"/>
  <c r="AO45" i="13"/>
  <c r="AO11" i="13" s="1"/>
  <c r="AN45" i="13"/>
  <c r="AM45" i="13"/>
  <c r="AL45" i="13"/>
  <c r="AK45" i="13"/>
  <c r="AK11" i="13" s="1"/>
  <c r="AJ45" i="13"/>
  <c r="AI45" i="13"/>
  <c r="AH45" i="13"/>
  <c r="AG45" i="13"/>
  <c r="AE45" i="13"/>
  <c r="AD45" i="13"/>
  <c r="AC45" i="13"/>
  <c r="Z45" i="13"/>
  <c r="Y45" i="13"/>
  <c r="X45" i="13"/>
  <c r="W45" i="13"/>
  <c r="V45" i="13"/>
  <c r="U45" i="13"/>
  <c r="T45" i="13"/>
  <c r="R45" i="13"/>
  <c r="Q45" i="13"/>
  <c r="P45" i="13"/>
  <c r="O45" i="13"/>
  <c r="N45" i="13"/>
  <c r="M45" i="13"/>
  <c r="L45" i="13"/>
  <c r="K45" i="13"/>
  <c r="J45" i="13"/>
  <c r="I45" i="13"/>
  <c r="H45" i="13"/>
  <c r="G45" i="13"/>
  <c r="AF44" i="13"/>
  <c r="S44" i="13"/>
  <c r="BL43" i="13"/>
  <c r="BL42" i="13" s="1"/>
  <c r="BK43" i="13"/>
  <c r="BK42" i="13" s="1"/>
  <c r="BJ42" i="13"/>
  <c r="BI43" i="13"/>
  <c r="AS43" i="13"/>
  <c r="AF43" i="13"/>
  <c r="E43" i="13" s="1"/>
  <c r="S43" i="13"/>
  <c r="F43" i="13"/>
  <c r="BR42" i="13"/>
  <c r="BQ42" i="13"/>
  <c r="BP42" i="13"/>
  <c r="BO42" i="13"/>
  <c r="BN42" i="13"/>
  <c r="BM42" i="13"/>
  <c r="BI42" i="13"/>
  <c r="BH42" i="13"/>
  <c r="BG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R42" i="13"/>
  <c r="AQ42" i="13"/>
  <c r="AP42" i="13"/>
  <c r="AO42" i="13"/>
  <c r="AN42" i="13"/>
  <c r="AM42" i="13"/>
  <c r="AL42" i="13"/>
  <c r="AK42" i="13"/>
  <c r="AJ42" i="13"/>
  <c r="AI42" i="13"/>
  <c r="AH42" i="13"/>
  <c r="AG42" i="13"/>
  <c r="AE42" i="13"/>
  <c r="AD42" i="13"/>
  <c r="AC42" i="13"/>
  <c r="AB42" i="13"/>
  <c r="AA42" i="13"/>
  <c r="Z42" i="13"/>
  <c r="Y42" i="13"/>
  <c r="S42" i="13" s="1"/>
  <c r="X42" i="13"/>
  <c r="W42" i="13"/>
  <c r="V42" i="13"/>
  <c r="U42" i="13"/>
  <c r="T42" i="13"/>
  <c r="R42" i="13"/>
  <c r="Q42" i="13"/>
  <c r="Q25" i="13" s="1"/>
  <c r="P42" i="13"/>
  <c r="O42" i="13"/>
  <c r="N42" i="13"/>
  <c r="M42" i="13"/>
  <c r="L42" i="13"/>
  <c r="K42" i="13"/>
  <c r="J42" i="13"/>
  <c r="I42" i="13"/>
  <c r="H42" i="13"/>
  <c r="G42" i="13"/>
  <c r="BK41" i="13"/>
  <c r="BF41" i="13" s="1"/>
  <c r="BB41" i="13"/>
  <c r="AS41" i="13" s="1"/>
  <c r="AP41" i="13"/>
  <c r="AF41" i="13" s="1"/>
  <c r="S41" i="13"/>
  <c r="O41" i="13"/>
  <c r="O26" i="13" s="1"/>
  <c r="K41" i="13"/>
  <c r="BF40" i="13"/>
  <c r="AS40" i="13"/>
  <c r="AF40" i="13"/>
  <c r="S40" i="13"/>
  <c r="F40" i="13"/>
  <c r="BF39" i="13"/>
  <c r="AS39" i="13"/>
  <c r="AF39" i="13"/>
  <c r="S39" i="13"/>
  <c r="F39" i="13"/>
  <c r="E39" i="13"/>
  <c r="D39" i="13" s="1"/>
  <c r="BF38" i="13"/>
  <c r="BE38" i="13"/>
  <c r="AS38" i="13" s="1"/>
  <c r="AF38" i="13"/>
  <c r="S38" i="13"/>
  <c r="F38" i="13"/>
  <c r="BL37" i="13"/>
  <c r="BK37" i="13"/>
  <c r="BF37" i="13" s="1"/>
  <c r="AS37" i="13"/>
  <c r="AF37" i="13"/>
  <c r="AE37" i="13"/>
  <c r="AD37" i="13"/>
  <c r="AD26" i="13" s="1"/>
  <c r="AD25" i="13" s="1"/>
  <c r="F37" i="13"/>
  <c r="BF36" i="13"/>
  <c r="AS36" i="13"/>
  <c r="AF36" i="13"/>
  <c r="AE36" i="13"/>
  <c r="F36" i="13"/>
  <c r="BI35" i="13"/>
  <c r="BF35" i="13" s="1"/>
  <c r="AS35" i="13"/>
  <c r="AF35" i="13"/>
  <c r="S35" i="13"/>
  <c r="F35" i="13"/>
  <c r="E35" i="13"/>
  <c r="BL34" i="13"/>
  <c r="BK34" i="13"/>
  <c r="BF34" i="13"/>
  <c r="AS34" i="13"/>
  <c r="AF34" i="13"/>
  <c r="S34" i="13"/>
  <c r="F34" i="13"/>
  <c r="BL33" i="13"/>
  <c r="BK33" i="13"/>
  <c r="BJ33" i="13"/>
  <c r="BI33" i="13"/>
  <c r="BF33" i="13"/>
  <c r="AS33" i="13"/>
  <c r="AR33" i="13"/>
  <c r="AF33" i="13"/>
  <c r="S33" i="13"/>
  <c r="F33" i="13"/>
  <c r="BF32" i="13"/>
  <c r="AS32" i="13"/>
  <c r="AF32" i="13"/>
  <c r="E32" i="13" s="1"/>
  <c r="D32" i="13" s="1"/>
  <c r="S32" i="13"/>
  <c r="F32" i="13"/>
  <c r="BF31" i="13"/>
  <c r="AS31" i="13"/>
  <c r="AF31" i="13"/>
  <c r="S31" i="13"/>
  <c r="F31" i="13"/>
  <c r="BF30" i="13"/>
  <c r="AS30" i="13"/>
  <c r="AF30" i="13"/>
  <c r="S30" i="13"/>
  <c r="F30" i="13"/>
  <c r="BL29" i="13"/>
  <c r="BK29" i="13"/>
  <c r="BF29" i="13" s="1"/>
  <c r="BI29" i="13"/>
  <c r="AS29" i="13"/>
  <c r="AR29" i="13"/>
  <c r="AF29" i="13" s="1"/>
  <c r="S29" i="13"/>
  <c r="R29" i="13"/>
  <c r="BL28" i="13"/>
  <c r="BK28" i="13"/>
  <c r="BJ28" i="13"/>
  <c r="AS28" i="13"/>
  <c r="AF28" i="13"/>
  <c r="S28" i="13"/>
  <c r="E28" i="13" s="1"/>
  <c r="F28" i="13"/>
  <c r="BL27" i="13"/>
  <c r="BK27" i="13"/>
  <c r="AS27" i="13"/>
  <c r="AF27" i="13"/>
  <c r="S27" i="13"/>
  <c r="F27" i="13"/>
  <c r="BR26" i="13"/>
  <c r="BQ26" i="13"/>
  <c r="BP26" i="13"/>
  <c r="BP25" i="13" s="1"/>
  <c r="BO26" i="13"/>
  <c r="BN26" i="13"/>
  <c r="BM26" i="13"/>
  <c r="BJ26" i="13"/>
  <c r="BI26" i="13"/>
  <c r="BI25" i="13" s="1"/>
  <c r="BH26" i="13"/>
  <c r="BG26" i="13"/>
  <c r="BD26" i="13"/>
  <c r="BD25" i="13" s="1"/>
  <c r="BC26" i="13"/>
  <c r="BA26" i="13"/>
  <c r="AZ26" i="13"/>
  <c r="AY26" i="13"/>
  <c r="AX26" i="13"/>
  <c r="AX25" i="13" s="1"/>
  <c r="AW26" i="13"/>
  <c r="AV26" i="13"/>
  <c r="AU26" i="13"/>
  <c r="AT26" i="13"/>
  <c r="AQ26" i="13"/>
  <c r="AP26" i="13"/>
  <c r="AP25" i="13" s="1"/>
  <c r="AO26" i="13"/>
  <c r="AN26" i="13"/>
  <c r="AM26" i="13"/>
  <c r="AL26" i="13"/>
  <c r="AL25" i="13" s="1"/>
  <c r="AK26" i="13"/>
  <c r="AJ26" i="13"/>
  <c r="AI26" i="13"/>
  <c r="AH26" i="13"/>
  <c r="AH25" i="13" s="1"/>
  <c r="AG26" i="13"/>
  <c r="AC26" i="13"/>
  <c r="AB26" i="13"/>
  <c r="AA26" i="13"/>
  <c r="Z26" i="13"/>
  <c r="Y26" i="13"/>
  <c r="Y25" i="13" s="1"/>
  <c r="X26" i="13"/>
  <c r="X25" i="13" s="1"/>
  <c r="W26" i="13"/>
  <c r="V26" i="13"/>
  <c r="U26" i="13"/>
  <c r="T26" i="13"/>
  <c r="Q26" i="13"/>
  <c r="P26" i="13"/>
  <c r="N26" i="13"/>
  <c r="N25" i="13" s="1"/>
  <c r="M26" i="13"/>
  <c r="M25" i="13" s="1"/>
  <c r="L26" i="13"/>
  <c r="J26" i="13"/>
  <c r="I26" i="13"/>
  <c r="H26" i="13"/>
  <c r="H25" i="13" s="1"/>
  <c r="G26" i="13"/>
  <c r="BH25" i="13"/>
  <c r="BA25" i="13"/>
  <c r="AW25" i="13"/>
  <c r="AV25" i="13"/>
  <c r="AO25" i="13"/>
  <c r="AN25" i="13"/>
  <c r="AK25" i="13"/>
  <c r="AG25" i="13"/>
  <c r="P25" i="13"/>
  <c r="BF24" i="13"/>
  <c r="AS24" i="13"/>
  <c r="AF24" i="13"/>
  <c r="S24" i="13"/>
  <c r="F24" i="13"/>
  <c r="E24" i="13" s="1"/>
  <c r="D24" i="13"/>
  <c r="BM23" i="13"/>
  <c r="BM20" i="13" s="1"/>
  <c r="BL23" i="13"/>
  <c r="BF23" i="13" s="1"/>
  <c r="BE23" i="13"/>
  <c r="AS23" i="13"/>
  <c r="AF23" i="13"/>
  <c r="AE23" i="13"/>
  <c r="S23" i="13"/>
  <c r="R23" i="13"/>
  <c r="BL22" i="13"/>
  <c r="BK22" i="13"/>
  <c r="BJ22" i="13"/>
  <c r="BE22" i="13"/>
  <c r="AS22" i="13" s="1"/>
  <c r="BD22" i="13"/>
  <c r="BC22" i="13"/>
  <c r="BC20" i="13" s="1"/>
  <c r="AF22" i="13"/>
  <c r="S22" i="13"/>
  <c r="R22" i="13"/>
  <c r="F22" i="13"/>
  <c r="BL21" i="13"/>
  <c r="BF21" i="13"/>
  <c r="BE21" i="13"/>
  <c r="AF21" i="13"/>
  <c r="AE21" i="13"/>
  <c r="AE20" i="13" s="1"/>
  <c r="S21" i="13"/>
  <c r="F21" i="13"/>
  <c r="BR20" i="13"/>
  <c r="BQ20" i="13"/>
  <c r="BP20" i="13"/>
  <c r="BO20" i="13"/>
  <c r="BN20" i="13"/>
  <c r="BK20" i="13"/>
  <c r="BJ20" i="13"/>
  <c r="BI20" i="13"/>
  <c r="BH20" i="13"/>
  <c r="BG20" i="13"/>
  <c r="BD20" i="13"/>
  <c r="BB20" i="13"/>
  <c r="BA20" i="13"/>
  <c r="AZ20" i="13"/>
  <c r="AY20" i="13"/>
  <c r="AX20" i="13"/>
  <c r="AW20" i="13"/>
  <c r="AV20" i="13"/>
  <c r="AU20" i="13"/>
  <c r="AT20" i="13"/>
  <c r="AR20" i="13"/>
  <c r="AQ20" i="13"/>
  <c r="AP20" i="13"/>
  <c r="AO20" i="13"/>
  <c r="AN20" i="13"/>
  <c r="AM20" i="13"/>
  <c r="AL20" i="13"/>
  <c r="AK20" i="13"/>
  <c r="AJ20" i="13"/>
  <c r="AI20" i="13"/>
  <c r="AH20" i="13"/>
  <c r="AG20" i="13"/>
  <c r="AD20" i="13"/>
  <c r="AC20" i="13"/>
  <c r="AB20" i="13"/>
  <c r="AA20" i="13"/>
  <c r="Z20" i="13"/>
  <c r="Y20" i="13"/>
  <c r="X20" i="13"/>
  <c r="W20" i="13"/>
  <c r="V20" i="13"/>
  <c r="U20" i="13"/>
  <c r="T20" i="13"/>
  <c r="Q20" i="13"/>
  <c r="P20" i="13"/>
  <c r="O20" i="13"/>
  <c r="O13" i="13" s="1"/>
  <c r="N20" i="13"/>
  <c r="M20" i="13"/>
  <c r="L20" i="13"/>
  <c r="K20" i="13"/>
  <c r="J20" i="13"/>
  <c r="I20" i="13"/>
  <c r="H20" i="13"/>
  <c r="G20" i="13"/>
  <c r="BL19" i="13"/>
  <c r="BL18" i="13" s="1"/>
  <c r="BF19" i="13"/>
  <c r="BE19" i="13"/>
  <c r="AS19" i="13"/>
  <c r="AF19" i="13"/>
  <c r="AE19" i="13"/>
  <c r="F19" i="13"/>
  <c r="BR18" i="13"/>
  <c r="BQ18" i="13"/>
  <c r="BP18" i="13"/>
  <c r="BO18" i="13"/>
  <c r="BO13" i="13" s="1"/>
  <c r="BN18" i="13"/>
  <c r="BM18" i="13"/>
  <c r="BK18" i="13"/>
  <c r="BJ18" i="13"/>
  <c r="BI18" i="13"/>
  <c r="BH18" i="13"/>
  <c r="BG18" i="13"/>
  <c r="BE18" i="13"/>
  <c r="BD18" i="13"/>
  <c r="BC18" i="13"/>
  <c r="BB18" i="13"/>
  <c r="BA18" i="13"/>
  <c r="AZ18" i="13"/>
  <c r="AY18" i="13"/>
  <c r="AX18" i="13"/>
  <c r="AW18" i="13"/>
  <c r="AV18" i="13"/>
  <c r="AU18" i="13"/>
  <c r="AT18" i="13"/>
  <c r="AR18" i="13"/>
  <c r="AQ18" i="13"/>
  <c r="AP18" i="13"/>
  <c r="AO18" i="13"/>
  <c r="AN18" i="13"/>
  <c r="AM18" i="13"/>
  <c r="AL18" i="13"/>
  <c r="AK18" i="13"/>
  <c r="AJ18" i="13"/>
  <c r="AI18" i="13"/>
  <c r="AF18" i="13" s="1"/>
  <c r="AH18" i="13"/>
  <c r="AG18" i="13"/>
  <c r="AD18" i="13"/>
  <c r="AC18" i="13"/>
  <c r="AB18" i="13"/>
  <c r="AA18" i="13"/>
  <c r="Z18" i="13"/>
  <c r="Y18" i="13"/>
  <c r="X18" i="13"/>
  <c r="W18" i="13"/>
  <c r="V18" i="13"/>
  <c r="U18" i="13"/>
  <c r="T18" i="13"/>
  <c r="R18" i="13"/>
  <c r="Q18" i="13"/>
  <c r="P18" i="13"/>
  <c r="O18" i="13"/>
  <c r="N18" i="13"/>
  <c r="M18" i="13"/>
  <c r="L18" i="13"/>
  <c r="K18" i="13"/>
  <c r="J18" i="13"/>
  <c r="I18" i="13"/>
  <c r="H18" i="13"/>
  <c r="G18" i="13"/>
  <c r="BL17" i="13"/>
  <c r="BK17" i="13"/>
  <c r="BJ17" i="13"/>
  <c r="BE17" i="13"/>
  <c r="BD17" i="13"/>
  <c r="BD14" i="13" s="1"/>
  <c r="BC17" i="13"/>
  <c r="BC14" i="13" s="1"/>
  <c r="BB17" i="13"/>
  <c r="BB14" i="13" s="1"/>
  <c r="BA17" i="13"/>
  <c r="AZ17" i="13"/>
  <c r="AY17" i="13"/>
  <c r="AY14" i="13" s="1"/>
  <c r="AX17" i="13"/>
  <c r="AX14" i="13" s="1"/>
  <c r="AF17" i="13"/>
  <c r="S17" i="13"/>
  <c r="R17" i="13"/>
  <c r="R14" i="13" s="1"/>
  <c r="F17" i="13"/>
  <c r="AS16" i="13"/>
  <c r="AF16" i="13"/>
  <c r="AE16" i="13"/>
  <c r="F16" i="13"/>
  <c r="BM15" i="13"/>
  <c r="BL15" i="13"/>
  <c r="BK15" i="13"/>
  <c r="BK14" i="13" s="1"/>
  <c r="BJ15" i="13"/>
  <c r="BC15" i="13"/>
  <c r="AS15" i="13"/>
  <c r="AR15" i="13"/>
  <c r="S15" i="13"/>
  <c r="F15" i="13"/>
  <c r="BR14" i="13"/>
  <c r="BQ14" i="13"/>
  <c r="BQ13" i="13" s="1"/>
  <c r="BP14" i="13"/>
  <c r="BP13" i="13" s="1"/>
  <c r="BP11" i="13" s="1"/>
  <c r="BO14" i="13"/>
  <c r="BN14" i="13"/>
  <c r="BM14" i="13"/>
  <c r="BM13" i="13" s="1"/>
  <c r="BL14" i="13"/>
  <c r="BI14" i="13"/>
  <c r="BH14" i="13"/>
  <c r="BH13" i="13" s="1"/>
  <c r="BG14" i="13"/>
  <c r="BE14" i="13"/>
  <c r="BA14" i="13"/>
  <c r="BA13" i="13" s="1"/>
  <c r="AZ14" i="13"/>
  <c r="AW14" i="13"/>
  <c r="AW13" i="13" s="1"/>
  <c r="AV14" i="13"/>
  <c r="AU14" i="13"/>
  <c r="AT14" i="13"/>
  <c r="AQ14" i="13"/>
  <c r="AP14" i="13"/>
  <c r="AP13" i="13" s="1"/>
  <c r="AP11" i="13" s="1"/>
  <c r="AO14" i="13"/>
  <c r="AO13" i="13" s="1"/>
  <c r="AN14" i="13"/>
  <c r="AM14" i="13"/>
  <c r="AL14" i="13"/>
  <c r="AK14" i="13"/>
  <c r="AK13" i="13" s="1"/>
  <c r="AJ14" i="13"/>
  <c r="AI14" i="13"/>
  <c r="AH14" i="13"/>
  <c r="AG14" i="13"/>
  <c r="AG13" i="13" s="1"/>
  <c r="AD14" i="13"/>
  <c r="AD13" i="13" s="1"/>
  <c r="AD11" i="13" s="1"/>
  <c r="AC14" i="13"/>
  <c r="AB14" i="13"/>
  <c r="AB13" i="13" s="1"/>
  <c r="AA14" i="13"/>
  <c r="Z14" i="13"/>
  <c r="Y14" i="13"/>
  <c r="X14" i="13"/>
  <c r="W14" i="13"/>
  <c r="V14" i="13"/>
  <c r="V13" i="13" s="1"/>
  <c r="U14" i="13"/>
  <c r="T14" i="13"/>
  <c r="Q14" i="13"/>
  <c r="P14" i="13"/>
  <c r="P13" i="13" s="1"/>
  <c r="O14" i="13"/>
  <c r="N14" i="13"/>
  <c r="M14" i="13"/>
  <c r="L14" i="13"/>
  <c r="L13" i="13" s="1"/>
  <c r="K14" i="13"/>
  <c r="J14" i="13"/>
  <c r="I14" i="13"/>
  <c r="H14" i="13"/>
  <c r="G14" i="13"/>
  <c r="BC13" i="13"/>
  <c r="AU13" i="13"/>
  <c r="AT13" i="13"/>
  <c r="AN13" i="13"/>
  <c r="AA13" i="13"/>
  <c r="X13" i="13"/>
  <c r="W13" i="13"/>
  <c r="T13" i="13"/>
  <c r="N13" i="13"/>
  <c r="J13" i="13"/>
  <c r="H13" i="13"/>
  <c r="BF12" i="13"/>
  <c r="AS12" i="13"/>
  <c r="AF12" i="13"/>
  <c r="S12" i="13"/>
  <c r="F12" i="13"/>
  <c r="AW11" i="13"/>
  <c r="AG11" i="13"/>
  <c r="AN11" i="13" l="1"/>
  <c r="H11" i="13"/>
  <c r="BA11" i="13"/>
  <c r="F45" i="13"/>
  <c r="AF45" i="13"/>
  <c r="BQ11" i="13"/>
  <c r="V11" i="13"/>
  <c r="AF14" i="13"/>
  <c r="K13" i="13"/>
  <c r="U13" i="13"/>
  <c r="AI13" i="13"/>
  <c r="AQ13" i="13"/>
  <c r="L11" i="13"/>
  <c r="P11" i="13"/>
  <c r="Z13" i="13"/>
  <c r="Z11" i="13" s="1"/>
  <c r="AZ13" i="13"/>
  <c r="BH11" i="13"/>
  <c r="BD13" i="13"/>
  <c r="BC11" i="13"/>
  <c r="G13" i="13"/>
  <c r="Y13" i="13"/>
  <c r="Y11" i="13" s="1"/>
  <c r="AC13" i="13"/>
  <c r="AM13" i="13"/>
  <c r="AF15" i="13"/>
  <c r="AR14" i="13"/>
  <c r="E22" i="13"/>
  <c r="AS18" i="13"/>
  <c r="AY13" i="13"/>
  <c r="AF20" i="13"/>
  <c r="AL13" i="13"/>
  <c r="BL20" i="13"/>
  <c r="BL13" i="13" s="1"/>
  <c r="BB26" i="13"/>
  <c r="BB25" i="13" s="1"/>
  <c r="BN25" i="13"/>
  <c r="BR25" i="13"/>
  <c r="E30" i="13"/>
  <c r="D30" i="13" s="1"/>
  <c r="L25" i="13"/>
  <c r="T25" i="13"/>
  <c r="AB25" i="13"/>
  <c r="E55" i="13"/>
  <c r="E56" i="13"/>
  <c r="E63" i="13"/>
  <c r="D63" i="13" s="1"/>
  <c r="AL11" i="13"/>
  <c r="AY25" i="13"/>
  <c r="BC25" i="13"/>
  <c r="BI45" i="13"/>
  <c r="X11" i="13"/>
  <c r="I13" i="13"/>
  <c r="M13" i="13"/>
  <c r="M11" i="13" s="1"/>
  <c r="Q13" i="13"/>
  <c r="Q11" i="13" s="1"/>
  <c r="BF17" i="13"/>
  <c r="AJ13" i="13"/>
  <c r="AJ11" i="13" s="1"/>
  <c r="S20" i="13"/>
  <c r="BK13" i="13"/>
  <c r="I25" i="13"/>
  <c r="N11" i="13"/>
  <c r="U25" i="13"/>
  <c r="AC25" i="13"/>
  <c r="E34" i="13"/>
  <c r="D34" i="13" s="1"/>
  <c r="AM25" i="13"/>
  <c r="AQ25" i="13"/>
  <c r="AQ11" i="13" s="1"/>
  <c r="AZ25" i="13"/>
  <c r="E51" i="13"/>
  <c r="E52" i="13"/>
  <c r="E64" i="13"/>
  <c r="D64" i="13" s="1"/>
  <c r="T11" i="13"/>
  <c r="BI13" i="13"/>
  <c r="E15" i="13"/>
  <c r="AS17" i="13"/>
  <c r="E17" i="13" s="1"/>
  <c r="D17" i="13" s="1"/>
  <c r="BR13" i="13"/>
  <c r="BR11" i="13" s="1"/>
  <c r="J25" i="13"/>
  <c r="J11" i="13" s="1"/>
  <c r="V25" i="13"/>
  <c r="Z25" i="13"/>
  <c r="AR26" i="13"/>
  <c r="AR25" i="13" s="1"/>
  <c r="BQ25" i="13"/>
  <c r="E31" i="13"/>
  <c r="D31" i="13" s="1"/>
  <c r="S37" i="13"/>
  <c r="E37" i="13" s="1"/>
  <c r="D37" i="13" s="1"/>
  <c r="E40" i="13"/>
  <c r="D40" i="13" s="1"/>
  <c r="G25" i="13"/>
  <c r="F42" i="13"/>
  <c r="W25" i="13"/>
  <c r="W11" i="13" s="1"/>
  <c r="AA25" i="13"/>
  <c r="AJ25" i="13"/>
  <c r="BO25" i="13"/>
  <c r="BO11" i="13" s="1"/>
  <c r="BD45" i="13"/>
  <c r="E53" i="13"/>
  <c r="BM25" i="13"/>
  <c r="BM11" i="13"/>
  <c r="D56" i="13"/>
  <c r="D62" i="13"/>
  <c r="D58" i="13"/>
  <c r="BN13" i="13"/>
  <c r="BN11" i="13" s="1"/>
  <c r="D47" i="13"/>
  <c r="D51" i="13"/>
  <c r="BJ25" i="13"/>
  <c r="AT11" i="13"/>
  <c r="F23" i="13"/>
  <c r="E23" i="13" s="1"/>
  <c r="D23" i="13" s="1"/>
  <c r="R20" i="13"/>
  <c r="F20" i="13" s="1"/>
  <c r="R13" i="13"/>
  <c r="F13" i="13" s="1"/>
  <c r="BF48" i="13"/>
  <c r="D48" i="13" s="1"/>
  <c r="BK45" i="13"/>
  <c r="BF15" i="13"/>
  <c r="D15" i="13" s="1"/>
  <c r="BJ14" i="13"/>
  <c r="BJ13" i="13" s="1"/>
  <c r="D35" i="13"/>
  <c r="D52" i="13"/>
  <c r="AS14" i="13"/>
  <c r="AV13" i="13"/>
  <c r="AV11" i="13" s="1"/>
  <c r="S16" i="13"/>
  <c r="E16" i="13" s="1"/>
  <c r="AE14" i="13"/>
  <c r="S19" i="13"/>
  <c r="E19" i="13" s="1"/>
  <c r="D19" i="13" s="1"/>
  <c r="AE18" i="13"/>
  <c r="S18" i="13" s="1"/>
  <c r="AE26" i="13"/>
  <c r="AE25" i="13" s="1"/>
  <c r="S36" i="13"/>
  <c r="E36" i="13" s="1"/>
  <c r="D36" i="13" s="1"/>
  <c r="S46" i="13"/>
  <c r="E46" i="13" s="1"/>
  <c r="D46" i="13" s="1"/>
  <c r="AA45" i="13"/>
  <c r="AA11" i="13" s="1"/>
  <c r="D53" i="13"/>
  <c r="S26" i="13"/>
  <c r="D43" i="13"/>
  <c r="BK26" i="13"/>
  <c r="BF27" i="13"/>
  <c r="AI25" i="13"/>
  <c r="AF42" i="13"/>
  <c r="E42" i="13" s="1"/>
  <c r="D42" i="13" s="1"/>
  <c r="E12" i="13"/>
  <c r="D12" i="13" s="1"/>
  <c r="AR13" i="13"/>
  <c r="AT25" i="13"/>
  <c r="F29" i="13"/>
  <c r="E29" i="13" s="1"/>
  <c r="D29" i="13" s="1"/>
  <c r="R26" i="13"/>
  <c r="R25" i="13" s="1"/>
  <c r="F41" i="13"/>
  <c r="E41" i="13" s="1"/>
  <c r="D41" i="13" s="1"/>
  <c r="K26" i="13"/>
  <c r="AB45" i="13"/>
  <c r="AB11" i="13" s="1"/>
  <c r="BL45" i="13"/>
  <c r="D50" i="13"/>
  <c r="BF18" i="13"/>
  <c r="S14" i="13"/>
  <c r="AX13" i="13"/>
  <c r="BB13" i="13"/>
  <c r="BB11" i="13" s="1"/>
  <c r="D28" i="13"/>
  <c r="BL26" i="13"/>
  <c r="BL25" i="13" s="1"/>
  <c r="E38" i="13"/>
  <c r="D38" i="13" s="1"/>
  <c r="BF42" i="13"/>
  <c r="BG25" i="13"/>
  <c r="D54" i="13"/>
  <c r="O25" i="13"/>
  <c r="O11" i="13" s="1"/>
  <c r="AH13" i="13"/>
  <c r="BG13" i="13"/>
  <c r="F14" i="13"/>
  <c r="BF16" i="13"/>
  <c r="F18" i="13"/>
  <c r="AS21" i="13"/>
  <c r="E21" i="13" s="1"/>
  <c r="D21" i="13" s="1"/>
  <c r="BE20" i="13"/>
  <c r="AS20" i="13" s="1"/>
  <c r="BF22" i="13"/>
  <c r="BE26" i="13"/>
  <c r="BE25" i="13" s="1"/>
  <c r="E27" i="13"/>
  <c r="BF28" i="13"/>
  <c r="E33" i="13"/>
  <c r="D33" i="13" s="1"/>
  <c r="AU25" i="13"/>
  <c r="AU11" i="13" s="1"/>
  <c r="AS42" i="13"/>
  <c r="BF43" i="13"/>
  <c r="BF55" i="13"/>
  <c r="S57" i="13"/>
  <c r="E57" i="13" s="1"/>
  <c r="D57" i="13" s="1"/>
  <c r="AS60" i="13"/>
  <c r="E60" i="13" s="1"/>
  <c r="D60" i="13" s="1"/>
  <c r="AX45" i="13"/>
  <c r="AS45" i="13" l="1"/>
  <c r="D55" i="13"/>
  <c r="AF26" i="13"/>
  <c r="AF25" i="13"/>
  <c r="BF20" i="13"/>
  <c r="AC11" i="13"/>
  <c r="BD11" i="13"/>
  <c r="U11" i="13"/>
  <c r="D22" i="13"/>
  <c r="AR11" i="13"/>
  <c r="AM11" i="13"/>
  <c r="E14" i="13"/>
  <c r="S25" i="13"/>
  <c r="BI11" i="13"/>
  <c r="I11" i="13"/>
  <c r="AY11" i="13"/>
  <c r="G11" i="13"/>
  <c r="AZ11" i="13"/>
  <c r="D27" i="13"/>
  <c r="BF45" i="13"/>
  <c r="BL11" i="13"/>
  <c r="BJ11" i="13"/>
  <c r="D16" i="13"/>
  <c r="AS26" i="13"/>
  <c r="AI11" i="13"/>
  <c r="BF13" i="13"/>
  <c r="BG11" i="13"/>
  <c r="AS25" i="13"/>
  <c r="BF14" i="13"/>
  <c r="R11" i="13"/>
  <c r="E18" i="13"/>
  <c r="D18" i="13" s="1"/>
  <c r="AF13" i="13"/>
  <c r="AH11" i="13"/>
  <c r="AX11" i="13"/>
  <c r="BK25" i="13"/>
  <c r="BK11" i="13" s="1"/>
  <c r="BF26" i="13"/>
  <c r="E20" i="13"/>
  <c r="D20" i="13" s="1"/>
  <c r="K25" i="13"/>
  <c r="F26" i="13"/>
  <c r="BE13" i="13"/>
  <c r="S45" i="13"/>
  <c r="E45" i="13" s="1"/>
  <c r="AE13" i="13"/>
  <c r="E26" i="13" l="1"/>
  <c r="D14" i="13"/>
  <c r="D45" i="13"/>
  <c r="D26" i="13"/>
  <c r="AE11" i="13"/>
  <c r="S11" i="13" s="1"/>
  <c r="S13" i="13"/>
  <c r="E13" i="13" s="1"/>
  <c r="D13" i="13" s="1"/>
  <c r="F25" i="13"/>
  <c r="E25" i="13" s="1"/>
  <c r="K11" i="13"/>
  <c r="F11" i="13" s="1"/>
  <c r="AF11" i="13"/>
  <c r="AF10" i="13" s="1"/>
  <c r="BF11" i="13"/>
  <c r="BF10" i="13" s="1"/>
  <c r="BF25" i="13"/>
  <c r="BE11" i="13"/>
  <c r="AS11" i="13" s="1"/>
  <c r="AS10" i="13" s="1"/>
  <c r="AS13" i="13"/>
  <c r="E11" i="13" l="1"/>
  <c r="E10" i="13" s="1"/>
  <c r="D25" i="13"/>
  <c r="D11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Guevara Quintero, Zuleika</author>
    <author>Zuleika</author>
  </authors>
  <commentList>
    <comment ref="G15" authorId="0" shapeId="0" xr:uid="{EB6865BE-D1DE-4D4E-8A65-C354E3A1166C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5 de mayo de 2020</t>
        </r>
      </text>
    </comment>
    <comment ref="H15" authorId="0" shapeId="0" xr:uid="{676DDF24-2244-408E-A096-270BC2E026C7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5 de mayo de 2020</t>
        </r>
      </text>
    </comment>
    <comment ref="I15" authorId="0" shapeId="0" xr:uid="{C903071C-9BA6-4DEF-8111-D72335B284E0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 21 de diciembre de 2020</t>
        </r>
      </text>
    </comment>
    <comment ref="J15" authorId="0" shapeId="0" xr:uid="{002BACA5-9630-4899-8432-FB1BC7C9C424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 23 de diciembre de 2020</t>
        </r>
      </text>
    </comment>
    <comment ref="K15" authorId="0" shapeId="0" xr:uid="{F136337B-2FB7-4A2B-ABD9-2ECC1804BD76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7 de julio de 2020</t>
        </r>
      </text>
    </comment>
    <comment ref="L15" authorId="0" shapeId="0" xr:uid="{8A89CD91-913B-44C8-9598-372B5BED96CD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 23 de diciembre de 2020</t>
        </r>
      </text>
    </comment>
    <comment ref="M15" authorId="0" shapeId="0" xr:uid="{1F3C8146-27CD-49E9-B89E-0220731FBC0D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22 de diciembrede 2020</t>
        </r>
      </text>
    </comment>
    <comment ref="N15" authorId="0" shapeId="0" xr:uid="{FCA5960C-2BA5-4061-A2C8-581AD7A75470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23 de diciembrede 2020</t>
        </r>
      </text>
    </comment>
    <comment ref="O15" authorId="0" shapeId="0" xr:uid="{3026ACA5-608F-46DC-83FB-399EC9BCA10A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 23 de diciembrede 2020</t>
        </r>
      </text>
    </comment>
    <comment ref="P15" authorId="0" shapeId="0" xr:uid="{D5BD3BCD-C0B3-42D2-9D6E-B44036CCFEB7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 de Diciembre de 2020</t>
        </r>
      </text>
    </comment>
    <comment ref="Q15" authorId="0" shapeId="0" xr:uid="{B8771E4A-7938-40A6-A90D-0ED63F8D6DB3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24 de Diciembre de 2020
</t>
        </r>
      </text>
    </comment>
    <comment ref="R15" authorId="0" shapeId="0" xr:uid="{721A3BA5-1844-4058-9381-3C21EA2E63BD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30 de marzo de 2021
</t>
        </r>
      </text>
    </comment>
    <comment ref="T15" authorId="0" shapeId="0" xr:uid="{2DFC0272-80E8-4683-8DE0-4E5A1DE2BEF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9 de julio de 2021</t>
        </r>
      </text>
    </comment>
    <comment ref="V15" authorId="0" shapeId="0" xr:uid="{092D492E-1C16-41C2-9F41-3B9991FC132E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11 de enero de 2022
</t>
        </r>
      </text>
    </comment>
    <comment ref="W15" authorId="0" shapeId="0" xr:uid="{1DA1D183-F8AA-4AD1-9B35-B277791335DF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11 de enero de 2022
</t>
        </r>
      </text>
    </comment>
    <comment ref="X15" authorId="0" shapeId="0" xr:uid="{12214B6B-61C5-4823-8B96-930BF8E0B5E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enero de 2022</t>
        </r>
      </text>
    </comment>
    <comment ref="Y15" authorId="0" shapeId="0" xr:uid="{D37D98FE-230F-4804-B0C4-7D8F2D283DA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enero de 2022</t>
        </r>
      </text>
    </comment>
    <comment ref="Z15" authorId="0" shapeId="0" xr:uid="{ED012062-D7FE-43D8-B631-4E41089FCD8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marzo de 2022</t>
        </r>
      </text>
    </comment>
    <comment ref="AA15" authorId="0" shapeId="0" xr:uid="{0F233283-BE13-48E4-8F74-C38F1245D4C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marzo de 2022</t>
        </r>
      </text>
    </comment>
    <comment ref="AB15" authorId="0" shapeId="0" xr:uid="{72A0071F-A964-48EE-8BF6-2BAF4F65B2E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24 de febrero de 2022</t>
        </r>
      </text>
    </comment>
    <comment ref="AC15" authorId="0" shapeId="0" xr:uid="{3C6C7926-9A1A-4FF6-8351-ABBC3482520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11 de abril de 2022</t>
        </r>
      </text>
    </comment>
    <comment ref="AD15" authorId="0" shapeId="0" xr:uid="{ACC14B8F-2FE7-441C-8BF0-315829FB7F8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abril de 2022</t>
        </r>
      </text>
    </comment>
    <comment ref="AE15" authorId="0" shapeId="0" xr:uid="{F64A8C9B-9E92-4A9F-AFEA-F4DCA06EBBC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6 de abril de 2022</t>
        </r>
      </text>
    </comment>
    <comment ref="AG15" authorId="0" shapeId="0" xr:uid="{8EF07973-0885-42BF-B4FA-5B8DB061BF5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octubre de 2022</t>
        </r>
      </text>
    </comment>
    <comment ref="AH15" authorId="0" shapeId="0" xr:uid="{8E27BF4B-1CE3-41AA-9B8B-B3FCD328EEA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31 de octubre de 2022</t>
        </r>
      </text>
    </comment>
    <comment ref="AI15" authorId="0" shapeId="0" xr:uid="{E43FBCE1-1A1A-47BB-A26B-F0EC5B3AB2B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11 de noviembre de 2022</t>
        </r>
      </text>
    </comment>
    <comment ref="AJ15" authorId="0" shapeId="0" xr:uid="{083B088F-D817-4674-A75B-3488164A895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30 de noviembre  de 2022</t>
        </r>
      </text>
    </comment>
    <comment ref="AK15" authorId="0" shapeId="0" xr:uid="{66BE07A6-5678-4168-8AFC-08F18A70C39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(6-12-2022)</t>
        </r>
      </text>
    </comment>
    <comment ref="AL15" authorId="0" shapeId="0" xr:uid="{7FBC1445-3051-4421-9FE4-516F3BCBCD2C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M15" authorId="0" shapeId="0" xr:uid="{B2BC30CF-5EB2-41FF-B6BB-E244453C927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N15" authorId="0" shapeId="0" xr:uid="{C5805D6F-8C75-4E1E-86F4-884218F67A6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O15" authorId="0" shapeId="0" xr:uid="{2A9CB6B4-7792-4A8E-84C2-FE9E1F53667B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P15" authorId="0" shapeId="0" xr:uid="{C8F8CDE9-08B1-4EED-9FC5-F0470A8F924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(17-02-2023)</t>
        </r>
      </text>
    </comment>
    <comment ref="AQ15" authorId="0" shapeId="0" xr:uid="{0178FECF-85BE-4D09-8420-5ADFBDE9B85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(17-02-2023)</t>
        </r>
      </text>
    </comment>
    <comment ref="AT15" authorId="0" shapeId="0" xr:uid="{F493B5E9-F86D-4A27-A0C4-E2856CDD67B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AU15" authorId="0" shapeId="0" xr:uid="{484AEA7A-E4C2-415C-ABDC-2A20415A381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AV15" authorId="0" shapeId="0" xr:uid="{CBF3E3F3-9327-4566-825C-6247FA93853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AW15" authorId="0" shapeId="0" xr:uid="{F678CFEA-98B4-4B3F-BC83-C41AE5AE8DF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AX15" authorId="0" shapeId="0" xr:uid="{F25E47FD-70AD-40A4-9AC7-9E5B876A100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AY15" authorId="0" shapeId="0" xr:uid="{A9B1CCC4-3A1B-4211-8FF5-07F1B8E11C1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AZ15" authorId="0" shapeId="0" xr:uid="{D8FCB6ED-5D4E-4709-961D-41307D7F7E9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BA15" authorId="0" shapeId="0" xr:uid="{794FC784-769E-4B47-91AB-B3B5C0524C9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05 de febrero de 2024</t>
        </r>
      </text>
    </comment>
    <comment ref="BB15" authorId="0" shapeId="0" xr:uid="{4C4FDF16-E558-4BA7-8676-B89A2AB6BFD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febrero de 2024</t>
        </r>
      </text>
    </comment>
    <comment ref="BD15" authorId="0" shapeId="0" xr:uid="{4C99924F-B6EF-4D4D-905A-FD194ED6839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13 de mayo de 2024</t>
        </r>
      </text>
    </comment>
    <comment ref="BE15" authorId="0" shapeId="0" xr:uid="{D9E66F58-69F9-4751-9F10-36A8A318AAF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07 de febrero de 2024</t>
        </r>
      </text>
    </comment>
    <comment ref="BG15" authorId="0" shapeId="0" xr:uid="{24AB68F4-B6BC-4C8A-8DF4-0C53A3D94FD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julio de 2024</t>
        </r>
      </text>
    </comment>
    <comment ref="BH15" authorId="0" shapeId="0" xr:uid="{D50BE501-887F-4C64-900E-38FDB29A091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23 de mayo de 2024</t>
        </r>
      </text>
    </comment>
    <comment ref="BI15" authorId="0" shapeId="0" xr:uid="{7ECB6E0E-9383-44C6-B393-BA63BD9CBD4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julio de 2024</t>
        </r>
      </text>
    </comment>
    <comment ref="G16" authorId="0" shapeId="0" xr:uid="{A4489CDF-804C-4CAC-B131-1B487A62500C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17 de marzo de 2020</t>
        </r>
      </text>
    </comment>
    <comment ref="H16" authorId="0" shapeId="0" xr:uid="{D88288AE-F1E6-4157-BD59-956DAC709BA2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21 de mayo de 2020</t>
        </r>
      </text>
    </comment>
    <comment ref="I16" authorId="0" shapeId="0" xr:uid="{215277B0-9A4F-470C-99A3-95609572ADFB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16 de junio de 2020</t>
        </r>
      </text>
    </comment>
    <comment ref="J16" authorId="0" shapeId="0" xr:uid="{F158DA08-CFC2-48DC-BB70-30EF6816752B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7 de julio  de 2020</t>
        </r>
      </text>
    </comment>
    <comment ref="K16" authorId="0" shapeId="0" xr:uid="{41A34F75-9622-40D0-9D5E-EA0E69AC515B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25 de junio de 2020</t>
        </r>
      </text>
    </comment>
    <comment ref="L16" authorId="0" shapeId="0" xr:uid="{E5152F6F-591A-4002-8C42-5A63056EB896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19 de agosto de 2020</t>
        </r>
      </text>
    </comment>
    <comment ref="M16" authorId="0" shapeId="0" xr:uid="{F58A3E64-6F73-4AED-81AE-D06367223706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24 de septiembre de 2020</t>
        </r>
      </text>
    </comment>
    <comment ref="N16" authorId="0" shapeId="0" xr:uid="{1BC04696-398F-402B-A135-4696ACE64F62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16 de octubre de 2020</t>
        </r>
      </text>
    </comment>
    <comment ref="O16" authorId="0" shapeId="0" xr:uid="{3668BA55-C4F5-41E6-A697-7F206E4991F5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9 de noviembre de 2020</t>
        </r>
      </text>
    </comment>
    <comment ref="P16" authorId="0" shapeId="0" xr:uid="{63D58169-417A-4DEA-B41C-88235A09F003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26 de noviembre de 2020</t>
        </r>
      </text>
    </comment>
    <comment ref="Q16" authorId="0" shapeId="0" xr:uid="{CEBDA709-6A0F-4663-BB6C-641E887FE50B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3 de febrero de 2021
</t>
        </r>
      </text>
    </comment>
    <comment ref="R16" authorId="0" shapeId="0" xr:uid="{40C8DB4B-8426-4EB8-A900-E5C8CDC5B999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3 de febrero de 2021
</t>
        </r>
      </text>
    </comment>
    <comment ref="T16" authorId="0" shapeId="0" xr:uid="{B0C45A94-D500-4171-9470-6F7A4EA7700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9 de marzo de 2021</t>
        </r>
      </text>
    </comment>
    <comment ref="U16" authorId="0" shapeId="0" xr:uid="{9DB6A1A3-7481-4FD3-8119-654477FB64E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9 de julio de 2021</t>
        </r>
      </text>
    </comment>
    <comment ref="X16" authorId="0" shapeId="0" xr:uid="{285B7BC5-3BE2-4845-9C7A-D7BB5F0E430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 de julio de 2021</t>
        </r>
      </text>
    </comment>
    <comment ref="Y16" authorId="0" shapeId="0" xr:uid="{788E9608-8AAF-4CB8-A4B9-AD97BD61B1C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6 de  agosto de 2021</t>
        </r>
      </text>
    </comment>
    <comment ref="Z16" authorId="0" shapeId="0" xr:uid="{4966BFD8-FDF1-48E1-A81F-85FE1053274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14 de  septiembre de 2021</t>
        </r>
      </text>
    </comment>
    <comment ref="AA16" authorId="0" shapeId="0" xr:uid="{03A29F59-2052-47CB-ADD4-28F660EF0D4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30 de  septiembre de 2021</t>
        </r>
      </text>
    </comment>
    <comment ref="AB16" authorId="0" shapeId="0" xr:uid="{615F2BF3-6CB9-48CC-95A7-AB57F057B67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29 de  octubre de 2021</t>
        </r>
      </text>
    </comment>
    <comment ref="AC16" authorId="0" shapeId="0" xr:uid="{86F89CDF-3740-457B-8A31-118F1544BF5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 noviembre de 2021</t>
        </r>
      </text>
    </comment>
    <comment ref="AG16" authorId="0" shapeId="0" xr:uid="{3517EE5B-0E7E-4917-B925-C0F78CD2A4E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22 de febrero de 2022</t>
        </r>
      </text>
    </comment>
    <comment ref="AH16" authorId="0" shapeId="0" xr:uid="{1E7356B1-5C8B-4B92-B5C5-DAE32A169AD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8 de abril  de 2022</t>
        </r>
      </text>
    </comment>
    <comment ref="AI16" authorId="0" shapeId="0" xr:uid="{DE84E231-5E8C-4C01-86A8-DD050024CF9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8 de junio  de 2022</t>
        </r>
      </text>
    </comment>
    <comment ref="AJ16" authorId="0" shapeId="0" xr:uid="{968795E7-C996-4E56-BE8E-2D1CF72B106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4 de julio  de 2022</t>
        </r>
      </text>
    </comment>
    <comment ref="AK16" authorId="0" shapeId="0" xr:uid="{F359A95F-530A-4D39-85B5-0F1519F1F95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6 de julio  de 2022</t>
        </r>
      </text>
    </comment>
    <comment ref="AL16" authorId="0" shapeId="0" xr:uid="{85EF9D27-92E7-4D68-9E5D-B4B80796DF5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septiembre de 2022</t>
        </r>
      </text>
    </comment>
    <comment ref="AM16" authorId="0" shapeId="0" xr:uid="{F2BC540A-2B05-4413-BE0B-8B9CF000F56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septiembre de 2022</t>
        </r>
      </text>
    </comment>
    <comment ref="AN16" authorId="0" shapeId="0" xr:uid="{C2EADC96-01B2-4FD7-81AF-DE7AE9253A8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septiembre de 2022</t>
        </r>
      </text>
    </comment>
    <comment ref="AO16" authorId="0" shapeId="0" xr:uid="{3FECB97D-160E-4F8F-A53A-1DD51DC7A2B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octubre de 2022</t>
        </r>
      </text>
    </comment>
    <comment ref="AP16" authorId="0" shapeId="0" xr:uid="{9F62A3C3-057E-422C-AFAA-B8FCF9B0580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7 de noviembre de 2022</t>
        </r>
      </text>
    </comment>
    <comment ref="AQ16" authorId="0" shapeId="0" xr:uid="{64960F03-E79E-400A-9ED3-20A312F2B0C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06 de enero de 2023</t>
        </r>
      </text>
    </comment>
    <comment ref="AR16" authorId="0" shapeId="0" xr:uid="{F66FE7C5-ADBB-4BCE-9242-51DD9F5D2B0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enero de 2023</t>
        </r>
      </text>
    </comment>
    <comment ref="AT16" authorId="0" shapeId="0" xr:uid="{ACB452E3-2630-4447-B012-A80F2388A1F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24 de febrero de 2023</t>
        </r>
      </text>
    </comment>
    <comment ref="AU16" authorId="0" shapeId="0" xr:uid="{85196F81-E663-4CB9-92D6-19CCD3AFEE3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08 de marzo de 2023</t>
        </r>
      </text>
    </comment>
    <comment ref="AV16" authorId="0" shapeId="0" xr:uid="{1C504D54-CA46-405D-A9A1-0013816110B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23 de mayo de 2023</t>
        </r>
      </text>
    </comment>
    <comment ref="AW16" authorId="0" shapeId="0" xr:uid="{0AA56CA1-F25F-4634-8E40-FAA7B0AD11C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mayo de 2023</t>
        </r>
      </text>
    </comment>
    <comment ref="AX16" authorId="0" shapeId="0" xr:uid="{C6B95708-8889-4DA9-ACA7-EE4EF09A791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14 de junio de 2023</t>
        </r>
      </text>
    </comment>
    <comment ref="AY16" authorId="0" shapeId="0" xr:uid="{264181B0-5B18-4CB4-BC97-223254D2B42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5 de julio de 2023</t>
        </r>
      </text>
    </comment>
    <comment ref="AZ16" authorId="0" shapeId="0" xr:uid="{7ADBA84E-45FE-46C3-9506-C76673CF62B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31 de julio de 2023</t>
        </r>
      </text>
    </comment>
    <comment ref="BA16" authorId="0" shapeId="0" xr:uid="{F8365C9F-F1E7-4E8A-BB23-20359C0F0EE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7 de septiembre de 2023</t>
        </r>
      </text>
    </comment>
    <comment ref="BB16" authorId="0" shapeId="0" xr:uid="{3DC84DD3-C728-4D00-9281-CF2CA7AEFA3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11 de octubre de 2023</t>
        </r>
      </text>
    </comment>
    <comment ref="BC16" authorId="0" shapeId="0" xr:uid="{72DD30EC-9BC9-4869-BFAD-FFA10A466E7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diciembre de 2023</t>
        </r>
      </text>
    </comment>
    <comment ref="BD16" authorId="0" shapeId="0" xr:uid="{8FBCA8B1-5728-446D-B69C-323BDD3709F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diciembre de 2023</t>
        </r>
      </text>
    </comment>
    <comment ref="BE16" authorId="0" shapeId="0" xr:uid="{909D4EF6-443A-4D3A-87E5-03E1AB941F4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diciembre de 2023</t>
        </r>
      </text>
    </comment>
    <comment ref="BG16" authorId="0" shapeId="0" xr:uid="{6D11B408-B27E-4056-BD4E-9358DE3EADC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febrero de 2024</t>
        </r>
      </text>
    </comment>
    <comment ref="BH16" authorId="0" shapeId="0" xr:uid="{9F752781-6103-4592-B1F4-C4D8249F256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marzo de 2024</t>
        </r>
      </text>
    </comment>
    <comment ref="BI16" authorId="0" shapeId="0" xr:uid="{84547D8F-672A-428E-A330-65FC164EA94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07 de mayo de 2024</t>
        </r>
      </text>
    </comment>
    <comment ref="BJ16" authorId="0" shapeId="0" xr:uid="{ED0264BD-B585-453F-B98F-D9C527722B1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mayo de 2024</t>
        </r>
      </text>
    </comment>
    <comment ref="BK16" authorId="0" shapeId="0" xr:uid="{94A5AA23-E0F0-4624-A0B4-39FA7AA1DC5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junio de 2024</t>
        </r>
      </text>
    </comment>
    <comment ref="BL16" authorId="0" shapeId="0" xr:uid="{91C82407-794A-4870-A895-CD3CB551F60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16 de agosto de 2024</t>
        </r>
      </text>
    </comment>
    <comment ref="BM16" authorId="0" shapeId="0" xr:uid="{CC1E8D03-AA02-4EDE-A362-BDE16543B23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22 de agosto de 2024</t>
        </r>
      </text>
    </comment>
    <comment ref="K17" authorId="0" shapeId="0" xr:uid="{75B1107E-49EC-4C03-A54F-112FB594BF2C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30 de noviembre de 2020</t>
        </r>
      </text>
    </comment>
    <comment ref="L17" authorId="0" shapeId="0" xr:uid="{49775956-C356-4960-8214-462BBF9BE550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16 de octubre de 2020</t>
        </r>
      </text>
    </comment>
    <comment ref="M17" authorId="0" shapeId="0" xr:uid="{860ADFD1-7D40-409A-9E2A-21777DCDC9CB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23 de diciembre de 2020</t>
        </r>
      </text>
    </comment>
    <comment ref="N17" authorId="0" shapeId="0" xr:uid="{3464F859-4792-43BA-861C-5FFA6A82A910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4 de Diciembre de 2020</t>
        </r>
      </text>
    </comment>
    <comment ref="O17" authorId="0" shapeId="0" xr:uid="{800DEDEE-6533-400A-A81F-816DB8365CF5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31 de marzo de 2021</t>
        </r>
      </text>
    </comment>
    <comment ref="R17" authorId="0" shapeId="0" xr:uid="{6644D0B0-C9A5-48E8-8957-4ABA374CAB94}">
      <text>
        <r>
          <rPr>
            <b/>
            <sz val="16"/>
            <color indexed="81"/>
            <rFont val="Tahoma"/>
            <family val="2"/>
          </rPr>
          <t xml:space="preserve">Guevara Quintero, Zuleika:
noviembre de 2020 B/. 1,212,808.36
diciembre de 2020 B/. 1,087,415.01
</t>
        </r>
      </text>
    </comment>
    <comment ref="T17" authorId="0" shapeId="0" xr:uid="{A0FE5BE1-4D79-4321-BE0E-02366AD7FB1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5 de julio de 2021</t>
        </r>
      </text>
    </comment>
    <comment ref="U17" authorId="0" shapeId="0" xr:uid="{A0DE9633-324B-4982-80C5-490023EC189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5 de julio de 2021</t>
        </r>
      </text>
    </comment>
    <comment ref="V17" authorId="0" shapeId="0" xr:uid="{DF564343-D542-42D2-B723-F58D797F801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18 de  agosto  de 2021</t>
        </r>
      </text>
    </comment>
    <comment ref="W17" authorId="0" shapeId="0" xr:uid="{963FE74E-F959-449C-A755-1E15A876F06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23  de  agosto  de 2021</t>
        </r>
      </text>
    </comment>
    <comment ref="X17" authorId="0" shapeId="0" xr:uid="{8565B197-FC91-4436-9AB5-E6B666EB985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30 de  agosto  de 2021</t>
        </r>
      </text>
    </comment>
    <comment ref="Y17" authorId="0" shapeId="0" xr:uid="{9DB02636-A399-440B-8487-56AB7524CEA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14 de enero de 2022</t>
        </r>
      </text>
    </comment>
    <comment ref="Z17" authorId="0" shapeId="0" xr:uid="{A4DB8976-C604-417A-9C31-0CA53EFF3FA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31 de  enero de 2022</t>
        </r>
      </text>
    </comment>
    <comment ref="AA17" authorId="0" shapeId="0" xr:uid="{F04810A4-4CE9-4B60-8345-F0CFAC3FADC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30 de  noviembre de 2021</t>
        </r>
      </text>
    </comment>
    <comment ref="AB17" authorId="0" shapeId="0" xr:uid="{C3BB63F6-27CA-4517-8F90-4A6956D8F59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08 de febrero de 2022</t>
        </r>
      </text>
    </comment>
    <comment ref="AD17" authorId="0" shapeId="0" xr:uid="{96189A4B-F34B-412C-B6E6-9190C92D218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02 de marzo de 2022</t>
        </r>
      </text>
    </comment>
    <comment ref="AE17" authorId="0" shapeId="0" xr:uid="{5B31178A-DC08-4372-8B6B-FEC031C2881E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noviembre 2021 (8-4-2022)
diciembre 2021 (4-5-2022)</t>
        </r>
      </text>
    </comment>
    <comment ref="AG17" authorId="0" shapeId="0" xr:uid="{84C3311F-276F-4DC0-8EAF-BAA8F67D9B8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abril de 2022</t>
        </r>
      </text>
    </comment>
    <comment ref="AH17" authorId="0" shapeId="0" xr:uid="{D19DF4CF-58B2-47B3-9EED-1AAA2C60DC0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22 de noviembre  de 2022</t>
        </r>
      </text>
    </comment>
    <comment ref="AI17" authorId="0" shapeId="0" xr:uid="{7E782204-7AEE-49BA-951F-8834606E5C9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noviembre de 2022</t>
        </r>
      </text>
    </comment>
    <comment ref="AJ17" authorId="0" shapeId="0" xr:uid="{F6FB76C7-4BD7-402D-9FDB-773F9EE7D590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(06-12-2022)</t>
        </r>
      </text>
    </comment>
    <comment ref="AK17" authorId="0" shapeId="0" xr:uid="{22EF498C-2041-4649-BC7A-AE8AD93A6A03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L17" authorId="0" shapeId="0" xr:uid="{BE5B623C-791B-4D05-9E07-3BBBC454F17C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M17" authorId="0" shapeId="0" xr:uid="{B8328751-A273-4C45-BF1D-75CF714EF9FC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N17" authorId="0" shapeId="0" xr:uid="{3F1F1B3B-AB7B-4F14-83D3-441E418E8BD6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(10-04-2023)</t>
        </r>
      </text>
    </comment>
    <comment ref="AO17" authorId="0" shapeId="0" xr:uid="{23C3D54B-898A-4B05-9C67-38F1EDB7CC3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03 de abril  de 2023</t>
        </r>
      </text>
    </comment>
    <comment ref="AP17" authorId="0" shapeId="0" xr:uid="{CA81C11C-398B-4EAE-A813-A46EABF6D47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abril  de 2023</t>
        </r>
      </text>
    </comment>
    <comment ref="AQ17" authorId="0" shapeId="0" xr:uid="{EA2B2A0C-3D84-40EE-A8F5-9D26A791DEE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08 de septiembre de 2023</t>
        </r>
      </text>
    </comment>
    <comment ref="AR17" authorId="0" shapeId="0" xr:uid="{453E586E-8E46-4612-96B4-0E083439814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agosto de 2023</t>
        </r>
      </text>
    </comment>
    <comment ref="AT17" authorId="0" shapeId="0" xr:uid="{A86EB387-07ED-4261-A8B7-7FC692A55A2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09 de agosto de 2023</t>
        </r>
      </text>
    </comment>
    <comment ref="AU17" authorId="0" shapeId="0" xr:uid="{C6D68B90-2D60-4852-A341-290235ACB9B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agosto de 2023</t>
        </r>
      </text>
    </comment>
    <comment ref="AV17" authorId="0" shapeId="0" xr:uid="{7F8A3348-D9BF-4CBD-AB59-11EF73E7D65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AW17" authorId="0" shapeId="0" xr:uid="{4E4B5823-600A-4AFE-B53D-6CD3B033A90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28 de julio de 2023</t>
        </r>
      </text>
    </comment>
    <comment ref="BG17" authorId="0" shapeId="0" xr:uid="{DD4C155A-6406-45CB-AEF6-F02E20834FB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17 de mayo de 2024</t>
        </r>
      </text>
    </comment>
    <comment ref="BH17" authorId="0" shapeId="0" xr:uid="{7C6D29F4-18D2-473C-BC89-E3E529FD4B3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20 de mayo de 2024</t>
        </r>
      </text>
    </comment>
    <comment ref="BI17" authorId="0" shapeId="0" xr:uid="{9B60C044-4EF6-4694-888E-E6D7751BE6B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03 de julio de 2024</t>
        </r>
      </text>
    </comment>
    <comment ref="I19" authorId="0" shapeId="0" xr:uid="{7C3F747E-23A5-48F4-8B35-7A2960292CF8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10 de diciembre de 2020</t>
        </r>
      </text>
    </comment>
    <comment ref="L19" authorId="0" shapeId="0" xr:uid="{10C5C5F7-7032-47FC-887A-404D8571EB1C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23 de diciembre de 2020</t>
        </r>
      </text>
    </comment>
    <comment ref="O19" authorId="0" shapeId="0" xr:uid="{ABF9940D-BA49-4C49-BAF0-21A6A307FADE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17 de diciembre de 2020</t>
        </r>
      </text>
    </comment>
    <comment ref="V19" authorId="0" shapeId="0" xr:uid="{D0B19EDC-68E1-4D97-BA73-0F0DF99E0EF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Ier. Trimestre (marzo)
pagada el  29  de  octubre  de 2021</t>
        </r>
      </text>
    </comment>
    <comment ref="Z19" authorId="0" shapeId="0" xr:uid="{B19F42CB-FBDE-46E1-9F4A-4D73C1DD9D8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18 de febrero de 2022</t>
        </r>
      </text>
    </comment>
    <comment ref="AB19" authorId="0" shapeId="0" xr:uid="{921BF2F0-774E-4240-9B95-504391F72B0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febrero de 2022</t>
        </r>
      </text>
    </comment>
    <comment ref="AI19" authorId="0" shapeId="0" xr:uid="{7FD7C8A8-7D51-471A-9F39-14E993406E5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31 de octubre  de 2022</t>
        </r>
      </text>
    </comment>
    <comment ref="AL19" authorId="0" shapeId="0" xr:uid="{8B728CDA-295D-4037-95C3-007C1A555BB0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O19" authorId="0" shapeId="0" xr:uid="{5B999469-BD7D-451C-A679-3605E606DE0C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Q19" authorId="0" shapeId="0" xr:uid="{DC3EC60B-3086-4A15-85E7-677C19DDA40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(10-04-2023)</t>
        </r>
      </text>
    </comment>
    <comment ref="AV19" authorId="0" shapeId="0" xr:uid="{EB1BDC08-D674-41F6-AE7B-6262FB26B33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marzo 2023 (Primer Trimestre) 19-12-2023</t>
        </r>
      </text>
    </comment>
    <comment ref="AY19" authorId="0" shapeId="0" xr:uid="{08090002-7696-444C-86BE-1951D6C6F21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junio 2023 (segundo trimestre) pagada el 30 de agosto de 2023</t>
        </r>
      </text>
    </comment>
    <comment ref="BB19" authorId="0" shapeId="0" xr:uid="{AE26FD5E-28F3-4C79-BA0F-97FADCD4429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septiembre 2023 (tercer trimestre) pagada el 02 de febrero de 2024</t>
        </r>
      </text>
    </comment>
    <comment ref="BI19" authorId="0" shapeId="0" xr:uid="{1DDE1A36-3401-4902-9397-2A318D56DB2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julio de 2024</t>
        </r>
      </text>
    </comment>
    <comment ref="H21" authorId="0" shapeId="0" xr:uid="{CFA1D71F-BDFA-427E-BC22-969DA567EDED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Ier. Trimestre de  febrero  2020 (9-12-20)</t>
        </r>
      </text>
    </comment>
    <comment ref="K21" authorId="0" shapeId="0" xr:uid="{8C5DD52A-8B49-4CA6-9115-D3DDB48FDD56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2do. Trimestre de  mayo  2020 (12-11-2020)</t>
        </r>
      </text>
    </comment>
    <comment ref="N21" authorId="0" shapeId="0" xr:uid="{46E60FE4-28A7-48F2-8751-609F00FB77ED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3er. Trimestre de agosto  2020 (23-12-2020)</t>
        </r>
      </text>
    </comment>
    <comment ref="Q21" authorId="0" shapeId="0" xr:uid="{DC6E53FF-0AEF-4CCD-820B-90B11AAAD692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4 to. Trimestre de noviembre  2020 ( 26-3-2021)  
</t>
        </r>
      </text>
    </comment>
    <comment ref="U21" authorId="0" shapeId="0" xr:uid="{071897EF-E4A0-4C72-A9DC-25E49A00C6D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julio de 2021</t>
        </r>
      </text>
    </comment>
    <comment ref="Y21" authorId="0" shapeId="0" xr:uid="{2951F461-F394-4515-801C-F6590920865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 octubre  de 2021</t>
        </r>
      </text>
    </comment>
    <comment ref="AB21" authorId="0" shapeId="0" xr:uid="{7D9710B7-7C99-4191-9D73-B60EE10BA2E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febrero de 2022</t>
        </r>
      </text>
    </comment>
    <comment ref="AI21" authorId="0" shapeId="0" xr:uid="{7FEAAD12-6192-425C-9487-FE9ABB1EF9E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 de noviembre de 2022</t>
        </r>
      </text>
    </comment>
    <comment ref="AL21" authorId="0" shapeId="0" xr:uid="{338701AC-13DE-4981-80AC-68385341CA1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O21" authorId="0" shapeId="0" xr:uid="{A0822FC0-B986-4A7B-A507-3342C0581BDC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(10-04-2023)</t>
        </r>
      </text>
    </comment>
    <comment ref="AQ21" authorId="0" shapeId="0" xr:uid="{69838B8B-B208-4749-860D-F739FFC575F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(04-04-2023)</t>
        </r>
      </text>
    </comment>
    <comment ref="AV21" authorId="0" shapeId="0" xr:uid="{2A9CD953-737D-4E51-95B0-ED4358ACEF66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marzo 2023 (Primer  Trimestre) 19-12-2023</t>
        </r>
      </text>
    </comment>
    <comment ref="AY21" authorId="0" shapeId="0" xr:uid="{A812851F-390E-4E65-A654-39C275DF7A71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 junio 2023 (Segundo Trimestre) 19-12-2023</t>
        </r>
      </text>
    </comment>
    <comment ref="BB21" authorId="0" shapeId="0" xr:uid="{9C674DB3-BE0C-40B3-B425-21D5CAEFC88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febrero de 2024</t>
        </r>
      </text>
    </comment>
    <comment ref="BI21" authorId="0" shapeId="0" xr:uid="{879BFC3D-2C7D-487E-A646-8D8C604C94F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julio de 2024</t>
        </r>
      </text>
    </comment>
    <comment ref="K22" authorId="0" shapeId="0" xr:uid="{424BEFE0-B29B-4BDE-A4FB-A5D7BBBA0D69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30 de noviembre de 2020</t>
        </r>
      </text>
    </comment>
    <comment ref="L22" authorId="0" shapeId="0" xr:uid="{FE018BA1-00D4-4D19-9BD1-AE9542B323D3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16 de octubre de 2020</t>
        </r>
      </text>
    </comment>
    <comment ref="M22" authorId="0" shapeId="0" xr:uid="{5FB9EFC6-0B8E-4CC0-9A5B-91BE62E96BCF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23 de diciembre de 2020</t>
        </r>
      </text>
    </comment>
    <comment ref="N22" authorId="0" shapeId="0" xr:uid="{9DF30A63-3BD6-4E81-B199-B3E634885043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12 de noviembre de 2020</t>
        </r>
      </text>
    </comment>
    <comment ref="O22" authorId="0" shapeId="0" xr:uid="{9FBE9379-6DEA-4476-9140-00225B2461D1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16 de marzo de 2021
</t>
        </r>
      </text>
    </comment>
    <comment ref="P22" authorId="0" shapeId="0" xr:uid="{2DE5E8DD-3BCD-4588-A143-A3CD89862709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31 de marzo de 2021
</t>
        </r>
      </text>
    </comment>
    <comment ref="R22" authorId="0" shapeId="0" xr:uid="{AE7A15C4-2F84-4285-A2B4-1BCFFDE68324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Guevara Quintero, Zuleika:
noviembre de 2020 B/.994,119.93
diciembre de 2020 B/.881,871.35</t>
        </r>
      </text>
    </comment>
    <comment ref="T22" authorId="0" shapeId="0" xr:uid="{601056F2-ED8A-4399-8C41-EE0C336BC4D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5 de julio de 2021</t>
        </r>
      </text>
    </comment>
    <comment ref="U22" authorId="0" shapeId="0" xr:uid="{AAC2B53F-9D17-4186-941C-0B22485F274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6 de julio de 2021</t>
        </r>
      </text>
    </comment>
    <comment ref="V22" authorId="0" shapeId="0" xr:uid="{178BB459-3E7B-42B6-BBC2-5762C52E8CF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23 de agosto de 2021</t>
        </r>
      </text>
    </comment>
    <comment ref="W22" authorId="0" shapeId="0" xr:uid="{C093D8D0-F4FD-4CCE-BD79-82A722CCD03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23 de agosto de 2021</t>
        </r>
      </text>
    </comment>
    <comment ref="X22" authorId="0" shapeId="0" xr:uid="{00A10EDD-0EBD-45A9-AE8E-9E0A5D240ED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16 de  febrero  de 2022</t>
        </r>
      </text>
    </comment>
    <comment ref="Y22" authorId="0" shapeId="0" xr:uid="{9F9E20E5-CD00-421E-AD22-89D7A4027F4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 enero  de 2022</t>
        </r>
      </text>
    </comment>
    <comment ref="Z22" authorId="0" shapeId="0" xr:uid="{D2D205CE-81F0-4930-B617-D9CD0CAC9C5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31 de enero de 2022</t>
        </r>
      </text>
    </comment>
    <comment ref="AA22" authorId="0" shapeId="0" xr:uid="{6D595180-B97D-48FC-92F6-6523112979C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30 de  noviembre de 2021</t>
        </r>
      </text>
    </comment>
    <comment ref="AB22" authorId="0" shapeId="0" xr:uid="{C2EEE309-F8DB-4C9A-97B8-2E477DEE2B0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08 de  febrero de 2022</t>
        </r>
      </text>
    </comment>
    <comment ref="AD22" authorId="0" shapeId="0" xr:uid="{51891261-4A94-4897-B96E-2DA2806ED83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02 de  marzo de 2022</t>
        </r>
      </text>
    </comment>
    <comment ref="AE22" authorId="0" shapeId="0" xr:uid="{1ECA3349-781B-4A9F-BEFD-E6D603B5F26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04 de mayo de 2022</t>
        </r>
      </text>
    </comment>
    <comment ref="AG22" authorId="0" shapeId="0" xr:uid="{5FFBB1CE-4E9D-4671-965C-9CA16DF5973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4 de mayo  de 2022</t>
        </r>
      </text>
    </comment>
    <comment ref="AH22" authorId="0" shapeId="0" xr:uid="{5960F8CE-5C7E-4CB1-9A85-02689EEE778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16 de mayo  de 2022</t>
        </r>
      </text>
    </comment>
    <comment ref="AI22" authorId="0" shapeId="0" xr:uid="{0E2792A4-EA14-4F1B-BF80-BDCB769B5CB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22 de noviembre de 2022</t>
        </r>
      </text>
    </comment>
    <comment ref="AJ22" authorId="0" shapeId="0" xr:uid="{EC022620-746F-4998-A56D-6759C988BE8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noviembre de 2022</t>
        </r>
      </text>
    </comment>
    <comment ref="AK22" authorId="0" shapeId="0" xr:uid="{8F1EA9B6-2E50-4DCE-A833-02CDD34D2479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L22" authorId="0" shapeId="0" xr:uid="{389B4719-118C-4D5E-BF10-F105939CBD46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M22" authorId="0" shapeId="0" xr:uid="{E68DDDB3-6475-4AA9-ADE7-3F06A536971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N22" authorId="0" shapeId="0" xr:uid="{C6DD2DC2-E0E5-4C7E-B2AA-E51D157BEE65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(07-03-2023)</t>
        </r>
      </text>
    </comment>
    <comment ref="AO22" authorId="0" shapeId="0" xr:uid="{3F23C4AE-AD8F-4E27-9B1B-1CB5BDE48C6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agosto de 2023</t>
        </r>
      </text>
    </comment>
    <comment ref="AP22" authorId="0" shapeId="0" xr:uid="{A343DEF2-EAB1-46E3-8468-9D22E907466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(03-04-2023)</t>
        </r>
      </text>
    </comment>
    <comment ref="AQ22" authorId="0" shapeId="0" xr:uid="{B7EE5102-1F00-4835-8910-B63F876BDBD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(28-07-2023)</t>
        </r>
      </text>
    </comment>
    <comment ref="AR22" authorId="0" shapeId="0" xr:uid="{FEF05ECD-6500-42FE-A9BE-DF296CCB2F2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(18-08-2023)</t>
        </r>
      </text>
    </comment>
    <comment ref="AT22" authorId="0" shapeId="0" xr:uid="{76AF3083-CED7-47C7-9E8F-3EEE298AE7D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17 de agosto de 2023</t>
        </r>
      </text>
    </comment>
    <comment ref="AU22" authorId="0" shapeId="0" xr:uid="{2608DE88-BCD0-43AE-860F-B4A2D7F90F1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11 de agosto de 2023</t>
        </r>
      </text>
    </comment>
    <comment ref="AV22" authorId="0" shapeId="0" xr:uid="{FCC76532-EAA9-4905-931F-4998F0534C4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17 de agosto de 2023</t>
        </r>
      </text>
    </comment>
    <comment ref="AW22" authorId="0" shapeId="0" xr:uid="{D30F1D85-064A-46D3-A689-97F50612207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28 de julio de 2023</t>
        </r>
      </text>
    </comment>
    <comment ref="AX22" authorId="0" shapeId="0" xr:uid="{6C575545-E5E0-4DB6-AA4D-1C4C3042437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29 de enero de 2024</t>
        </r>
      </text>
    </comment>
    <comment ref="AY22" authorId="0" shapeId="0" xr:uid="{B2322095-BD1B-4242-B462-4F321101B7F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14 de agosto de 2023</t>
        </r>
      </text>
    </comment>
    <comment ref="AZ22" authorId="0" shapeId="0" xr:uid="{3443EF5B-7BCD-4CD4-8E2E-490800326F5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31 de enero de 2024</t>
        </r>
      </text>
    </comment>
    <comment ref="BA22" authorId="0" shapeId="0" xr:uid="{8EA93F75-4ED9-4C63-9F38-803236E8148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02 de febrero de 2024</t>
        </r>
      </text>
    </comment>
    <comment ref="BB22" authorId="0" shapeId="0" xr:uid="{5DB27771-D981-4BE1-AF53-A9A51462F3B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13 de mayo de 2024</t>
        </r>
      </text>
    </comment>
    <comment ref="BG22" authorId="0" shapeId="0" xr:uid="{B7ECF52F-CA1D-480F-B9CC-46CAE4DF4AB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22 de mayo de 2024</t>
        </r>
      </text>
    </comment>
    <comment ref="BH22" authorId="0" shapeId="0" xr:uid="{B7CAA6EA-4089-44F7-9A1E-DC8FB1D0B48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20 de mayo de 2024</t>
        </r>
      </text>
    </comment>
    <comment ref="BI22" authorId="0" shapeId="0" xr:uid="{7E810EF4-C43B-4DD3-95A4-567805212D1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29 de mayo de 2024</t>
        </r>
      </text>
    </comment>
    <comment ref="T23" authorId="0" shapeId="0" xr:uid="{1ADE1257-E7B5-4678-BB8D-7F96F4502E8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julio de 2021</t>
        </r>
      </text>
    </comment>
    <comment ref="U23" authorId="0" shapeId="0" xr:uid="{3F216772-2828-4F21-A487-5785E111F28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julio de 2021</t>
        </r>
      </text>
    </comment>
    <comment ref="V23" authorId="0" shapeId="0" xr:uid="{DDA0887B-E6E0-4A03-8A1F-DEB1FB95B02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16 de julio de 2021</t>
        </r>
      </text>
    </comment>
    <comment ref="W23" authorId="0" shapeId="0" xr:uid="{545C99D2-2781-42DE-AAFE-F3504F15608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16 de julio de 2021</t>
        </r>
      </text>
    </comment>
    <comment ref="X23" authorId="0" shapeId="0" xr:uid="{892A4E4E-82D3-40EA-9C0E-D9E968FEDA7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agosto de 2021</t>
        </r>
      </text>
    </comment>
    <comment ref="Y23" authorId="0" shapeId="0" xr:uid="{6B55E652-C447-407E-9AE5-BB8EFC6D186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29 de octubre de 2021</t>
        </r>
      </text>
    </comment>
    <comment ref="Z23" authorId="0" shapeId="0" xr:uid="{72291935-6D91-4073-8BC2-76E48906806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 enero  de 2022</t>
        </r>
      </text>
    </comment>
    <comment ref="AA23" authorId="0" shapeId="0" xr:uid="{F4A847AE-36C9-4841-9B46-0EDB6E40C85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8 de  noviembre de 2021</t>
        </r>
      </text>
    </comment>
    <comment ref="AB23" authorId="0" shapeId="0" xr:uid="{90A20576-1365-4911-A255-6EA4115904A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febrero  de 2022</t>
        </r>
      </text>
    </comment>
    <comment ref="AC23" authorId="0" shapeId="0" xr:uid="{D46C4BE5-48E5-4300-833A-5FB2FE309EC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11 de abril  de 2022</t>
        </r>
      </text>
    </comment>
    <comment ref="AG23" authorId="0" shapeId="0" xr:uid="{F19FD955-7D97-46DF-A9DC-D9AF56A0FE2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7 de abril de 2022</t>
        </r>
      </text>
    </comment>
    <comment ref="AH23" authorId="0" shapeId="0" xr:uid="{2A6024F1-FE17-4D8A-BE7A-BC9F16EA840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abril de 2022</t>
        </r>
      </text>
    </comment>
    <comment ref="AI23" authorId="0" shapeId="0" xr:uid="{52F4775A-743A-4FCD-8B56-F6502307B00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octubre de 2022</t>
        </r>
      </text>
    </comment>
    <comment ref="AJ23" authorId="0" shapeId="0" xr:uid="{C6B96D05-255E-409F-8217-8EDDE7FFC74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22 de noviembre de 2022</t>
        </r>
      </text>
    </comment>
    <comment ref="AK23" authorId="0" shapeId="0" xr:uid="{F4E36353-C9AD-4060-B90B-ED83CBDA9A7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noviembre de 2022</t>
        </r>
      </text>
    </comment>
    <comment ref="AL23" authorId="0" shapeId="0" xr:uid="{5542867F-BC2F-4911-A1F6-3F269A22DF6B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M23" authorId="0" shapeId="0" xr:uid="{182968CD-DC94-41ED-9E3C-294799AE01D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N23" authorId="0" shapeId="0" xr:uid="{7344E1EA-F400-4602-A29F-77B301A99F39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O23" authorId="0" shapeId="0" xr:uid="{6DC46692-D46B-4823-BB89-F9E4D28470FD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(07-02-2023)</t>
        </r>
      </text>
    </comment>
    <comment ref="AP23" authorId="0" shapeId="0" xr:uid="{6FEA2C43-A3D5-4D6C-8FEC-104BFBB12B79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(03-02-2023)</t>
        </r>
      </text>
    </comment>
    <comment ref="AQ23" authorId="0" shapeId="0" xr:uid="{0685283F-25DF-418A-948A-C76CD9A27064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(03-02-2023)</t>
        </r>
      </text>
    </comment>
    <comment ref="AR23" authorId="0" shapeId="0" xr:uid="{D1CFC868-4671-44F3-94B9-2DD60D96CAC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(10-04-2023)</t>
        </r>
      </text>
    </comment>
    <comment ref="AT23" authorId="0" shapeId="0" xr:uid="{D62A43F1-39EB-4A29-B5A3-81991D6749E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08 de septiembre de 2023</t>
        </r>
      </text>
    </comment>
    <comment ref="AU23" authorId="0" shapeId="0" xr:uid="{AB68A416-3387-409E-BE75-4BCB6792EA4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14 de agosto de 2023</t>
        </r>
      </text>
    </comment>
    <comment ref="AV23" authorId="0" shapeId="0" xr:uid="{07FB5CC7-EEDD-4603-A32D-40B3D129AC5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14 de agosto de 2023</t>
        </r>
      </text>
    </comment>
    <comment ref="AW23" authorId="0" shapeId="0" xr:uid="{3AD5F0D4-A0F4-4F16-AB08-2F65C683539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septiembre de 2023</t>
        </r>
      </text>
    </comment>
    <comment ref="AX23" authorId="0" shapeId="0" xr:uid="{960B1914-806B-493D-988F-E4150C47055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09 de agosto de 2023</t>
        </r>
      </text>
    </comment>
    <comment ref="AY23" authorId="0" shapeId="0" xr:uid="{4DECC007-A8F7-4CFC-930E-7D862FCA6A0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07 de agosto de 2023</t>
        </r>
      </text>
    </comment>
    <comment ref="AZ23" authorId="0" shapeId="0" xr:uid="{C0AB6A4F-13F0-4397-A290-D0DB307A8BB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BA23" authorId="0" shapeId="0" xr:uid="{A0224F96-EC58-43E7-BF76-528D2DC1F76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09 de mayo de 2024</t>
        </r>
      </text>
    </comment>
    <comment ref="BB23" authorId="0" shapeId="0" xr:uid="{8FE4B817-01FF-4C32-A3DA-0DA1E1CFBA8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febrero de 2023</t>
        </r>
      </text>
    </comment>
    <comment ref="BC23" authorId="0" shapeId="0" xr:uid="{E8A1B7D8-098F-45E4-9908-2FD38F14965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02 de febrero de 2024</t>
        </r>
      </text>
    </comment>
    <comment ref="BD23" authorId="0" shapeId="0" xr:uid="{0A43DF8A-560B-40D9-8C89-1D220D4C1DB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mayo de 2024</t>
        </r>
      </text>
    </comment>
    <comment ref="BG23" authorId="0" shapeId="0" xr:uid="{E8ACE6EF-B3EF-4B49-80B4-DF5BA897343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17 de mayo de 2024</t>
        </r>
      </text>
    </comment>
    <comment ref="BH23" authorId="0" shapeId="0" xr:uid="{91F3B643-4028-4A29-8309-B0E2E8166E5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22 de mayo de 2024</t>
        </r>
      </text>
    </comment>
    <comment ref="BI23" authorId="0" shapeId="0" xr:uid="{B58404CD-8708-4795-9808-C78F153DC6A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20 de mayo de 2024</t>
        </r>
      </text>
    </comment>
    <comment ref="BJ23" authorId="0" shapeId="0" xr:uid="{6F9978C5-6D73-4901-9F3A-398C7F25999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03 de julio de 2024</t>
        </r>
      </text>
    </comment>
    <comment ref="BK23" authorId="0" shapeId="0" xr:uid="{0788018E-D717-45E1-8525-477D5FC1A11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03 de julio de 2024</t>
        </r>
      </text>
    </comment>
    <comment ref="G27" authorId="0" shapeId="0" xr:uid="{F9A7FC58-2824-4460-AF4A-7A93764CE59D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25 de junio de 2020</t>
        </r>
      </text>
    </comment>
    <comment ref="H27" authorId="0" shapeId="0" xr:uid="{C13100F8-C12D-41B5-8A50-EF7CCE2B6EF4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9 de junio de 2020</t>
        </r>
      </text>
    </comment>
    <comment ref="K27" authorId="0" shapeId="0" xr:uid="{DC567F46-1858-4A74-AFA7-E0D2588A7CAE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22 de diciembre de 2020</t>
        </r>
      </text>
    </comment>
    <comment ref="L27" authorId="0" shapeId="0" xr:uid="{C2511817-F4B2-4F18-9496-E200DEA6CE96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23 de diciembre de 2020</t>
        </r>
      </text>
    </comment>
    <comment ref="P27" authorId="0" shapeId="0" xr:uid="{E5A25A63-A9E7-4BEC-AB19-DF5E546FBDED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</t>
        </r>
        <r>
          <rPr>
            <sz val="36"/>
            <color indexed="81"/>
            <rFont val="Tahoma"/>
            <family val="2"/>
          </rPr>
          <t>pagada el 31 de marzo de 2021</t>
        </r>
      </text>
    </comment>
    <comment ref="Q27" authorId="0" shapeId="0" xr:uid="{A08899E0-E85F-4B9D-A829-C137683D1233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</t>
        </r>
        <r>
          <rPr>
            <sz val="36"/>
            <color indexed="81"/>
            <rFont val="Tahoma"/>
            <family val="2"/>
          </rPr>
          <t>pagada el 31 de marzo de 2021</t>
        </r>
      </text>
    </comment>
    <comment ref="U27" authorId="0" shapeId="0" xr:uid="{0FE70939-6621-4B0C-B879-E0A270D405B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5 de julio de 2021
</t>
        </r>
      </text>
    </comment>
    <comment ref="V27" authorId="0" shapeId="0" xr:uid="{A6FE821E-C270-4B24-B33F-8B2B121B2084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11 de enero de 2022
</t>
        </r>
      </text>
    </comment>
    <comment ref="W27" authorId="0" shapeId="0" xr:uid="{A9FB462B-6AE4-45D4-A4E9-E55ABF81EC8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23 de agosto de 2021</t>
        </r>
      </text>
    </comment>
    <comment ref="X27" authorId="0" shapeId="0" xr:uid="{BB6C275F-2CC1-4809-BC04-C8732B74985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enero de 2022</t>
        </r>
      </text>
    </comment>
    <comment ref="Y27" authorId="0" shapeId="0" xr:uid="{E852B093-5509-4BA8-8110-BD724EBB8F2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31 de enero de 2022</t>
        </r>
      </text>
    </comment>
    <comment ref="Z27" authorId="0" shapeId="0" xr:uid="{014F9E76-5C84-427E-90F7-FDEBB96A66B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enero de 2022</t>
        </r>
      </text>
    </comment>
    <comment ref="AA27" authorId="0" shapeId="0" xr:uid="{B8059B00-275E-4F22-B5BB-0CC880A532C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enero de 2022</t>
        </r>
      </text>
    </comment>
    <comment ref="AB27" authorId="0" shapeId="0" xr:uid="{2619D48E-4F7D-4F45-B7B0-9E7C3B77747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16 de febrero de 2022</t>
        </r>
      </text>
    </comment>
    <comment ref="AC27" authorId="0" shapeId="0" xr:uid="{4115F4AD-6C46-4BF6-96CA-6AF091F1803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03 de marzo de 2022</t>
        </r>
      </text>
    </comment>
    <comment ref="AD27" authorId="0" shapeId="0" xr:uid="{59FE3E5A-E390-45DE-9BD9-3352A5DFDB4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02 de marzo de 2022</t>
        </r>
      </text>
    </comment>
    <comment ref="AE27" authorId="0" shapeId="0" xr:uid="{EF32AEFC-37B9-403D-A015-65994F5861C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8 de abril de 2022</t>
        </r>
      </text>
    </comment>
    <comment ref="AG27" authorId="0" shapeId="0" xr:uid="{7B1DC924-BA8E-48A7-97FF-45701A7CD34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mayo de 2022</t>
        </r>
      </text>
    </comment>
    <comment ref="AH27" authorId="0" shapeId="0" xr:uid="{0ED98513-04E3-4321-ABCE-FDCB5DE424D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29 de junio de 2022</t>
        </r>
      </text>
    </comment>
    <comment ref="AI27" authorId="0" shapeId="0" xr:uid="{6307F7B4-CA8F-4DA1-B0F1-AADEE4C2FD2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octubre de 2022</t>
        </r>
      </text>
    </comment>
    <comment ref="AJ27" authorId="0" shapeId="0" xr:uid="{50979449-C5AF-47BE-B31B-D950AB1D57F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octubre de 2022</t>
        </r>
      </text>
    </comment>
    <comment ref="AK27" authorId="0" shapeId="0" xr:uid="{E6B40344-DF46-4D2F-B2CB-A1AEEC14C02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octubre de 2022</t>
        </r>
      </text>
    </comment>
    <comment ref="AL27" authorId="0" shapeId="0" xr:uid="{9D48D8EF-CC6C-4C6A-B61C-00D3DE1FAD44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M27" authorId="0" shapeId="0" xr:uid="{3141B339-1D06-4513-A901-CB8FDB4EF62C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19 de diciembre de 2022</t>
        </r>
      </text>
    </comment>
    <comment ref="AN27" authorId="0" shapeId="0" xr:uid="{FFD7AD12-C4AE-466B-8422-34D717A6D179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19 de diciembre de 2022</t>
        </r>
      </text>
    </comment>
    <comment ref="AO27" authorId="0" shapeId="0" xr:uid="{FD9D6D8E-AA5B-46EF-801F-EFE7D1026953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03 de febrero de 2023</t>
        </r>
      </text>
    </comment>
    <comment ref="AP27" authorId="0" shapeId="0" xr:uid="{2C7A6F3B-A00A-4CDE-8127-7F445330D12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10 de abril de 2023</t>
        </r>
      </text>
    </comment>
    <comment ref="AQ27" authorId="0" shapeId="0" xr:uid="{154994ED-16A9-4447-8165-B74174F15D1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03 de abril de 2023</t>
        </r>
      </text>
    </comment>
    <comment ref="AR27" authorId="0" shapeId="0" xr:uid="{CDC0716B-B125-4EF1-A1FF-21BB0857A964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03 de abril de 2023</t>
        </r>
      </text>
    </comment>
    <comment ref="AT27" authorId="0" shapeId="0" xr:uid="{4A04236B-5ED6-4ECC-B4E5-48F73DCF71B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agosto de 2023</t>
        </r>
      </text>
    </comment>
    <comment ref="AU27" authorId="0" shapeId="0" xr:uid="{E88150CF-63A6-484A-9AD7-B3DB3AD564B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23 de agosto de 2023</t>
        </r>
      </text>
    </comment>
    <comment ref="AV27" authorId="0" shapeId="0" xr:uid="{FDB20E29-2FC3-43B2-A70B-8ADA85EA804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agosto de 2023</t>
        </r>
      </text>
    </comment>
    <comment ref="AW27" authorId="0" shapeId="0" xr:uid="{B790B61C-9BF1-4E51-AFCE-A556B6F42A3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28 de julio de 2023</t>
        </r>
      </text>
    </comment>
    <comment ref="AX27" authorId="0" shapeId="0" xr:uid="{0DBD8381-CA4E-49D8-8A2E-F08D7A330AF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julio de 2023</t>
        </r>
      </text>
    </comment>
    <comment ref="AY27" authorId="0" shapeId="0" xr:uid="{9ED97E20-1A66-43E1-8C20-745CAF52288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30 de enero de 2024</t>
        </r>
      </text>
    </comment>
    <comment ref="AZ27" authorId="0" shapeId="0" xr:uid="{0F592635-0E8E-43EB-9E14-AAD8D1672D4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29 de enero de 2024</t>
        </r>
      </text>
    </comment>
    <comment ref="BA27" authorId="0" shapeId="0" xr:uid="{7F6FEB39-0E07-4D5F-9A62-4C72A051B0F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02 de febrero de 2024</t>
        </r>
      </text>
    </comment>
    <comment ref="BB27" authorId="0" shapeId="0" xr:uid="{4CA64557-89D4-4EA4-A6C3-1262BD2DBC8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enero de 2024</t>
        </r>
      </text>
    </comment>
    <comment ref="BC27" authorId="0" shapeId="0" xr:uid="{E5A66EC0-D053-4C35-852B-25844E2078E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13 de mayo de 2024</t>
        </r>
      </text>
    </comment>
    <comment ref="BD27" authorId="0" shapeId="0" xr:uid="{A2189101-0201-4DB0-8559-B56295393DD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13 de mayo de 2024</t>
        </r>
      </text>
    </comment>
    <comment ref="BE27" authorId="0" shapeId="0" xr:uid="{1943EF5C-AE58-44E8-913F-EBF1FD8ECDB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mayo de 2024</t>
        </r>
      </text>
    </comment>
    <comment ref="BG27" authorId="0" shapeId="0" xr:uid="{E5FD13CE-0747-426D-BE28-AFDB992304C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22 de mayo de 2024</t>
        </r>
      </text>
    </comment>
    <comment ref="BH27" authorId="0" shapeId="0" xr:uid="{B69B2417-C71C-4ECA-867D-85414075A42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06 de junio de 2024</t>
        </r>
      </text>
    </comment>
    <comment ref="BI27" authorId="0" shapeId="0" xr:uid="{62440211-F049-4170-844D-ABB8412B9D3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03 de julio de 2024</t>
        </r>
      </text>
    </comment>
    <comment ref="BJ27" authorId="0" shapeId="0" xr:uid="{3CAE9002-9D6A-407A-9DC1-45FE21746C0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03 de julio de 2024</t>
        </r>
      </text>
    </comment>
    <comment ref="G28" authorId="0" shapeId="0" xr:uid="{1BE6451A-2620-4A34-B4DC-E618AEEFFC31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24 de junio de 2020</t>
        </r>
      </text>
    </comment>
    <comment ref="H28" authorId="0" shapeId="0" xr:uid="{75F03ECB-C206-439F-881B-3446A8B20D28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 17 de diciembre de 2020</t>
        </r>
      </text>
    </comment>
    <comment ref="K28" authorId="0" shapeId="0" xr:uid="{1B210CE8-5B57-4715-BEB0-24E27456032F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30 de noviembre de 2020</t>
        </r>
      </text>
    </comment>
    <comment ref="L28" authorId="0" shapeId="0" xr:uid="{F5AE3234-42E1-40E2-9899-B50959D3C649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23  de diciembre de 2020</t>
        </r>
      </text>
    </comment>
    <comment ref="T28" authorId="0" shapeId="0" xr:uid="{F0117870-2D5E-4BA8-A12E-D23F890FEE7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16 de julio de 2021</t>
        </r>
      </text>
    </comment>
    <comment ref="U28" authorId="0" shapeId="0" xr:uid="{F7FFCB3A-D60A-4CBA-9312-F420C79E448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julio de 2021</t>
        </r>
      </text>
    </comment>
    <comment ref="V28" authorId="0" shapeId="0" xr:uid="{AC599F90-BD58-44F5-82B7-340921F74621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11 de enero de 2022</t>
        </r>
      </text>
    </comment>
    <comment ref="W28" authorId="0" shapeId="0" xr:uid="{74FD449E-78D2-4AFD-8635-1130FBA9B3BA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18 de agosto de 2021</t>
        </r>
      </text>
    </comment>
    <comment ref="X28" authorId="0" shapeId="0" xr:uid="{B1FCEE6D-5BFA-4B90-A52F-39F91001DAD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enero de 2022</t>
        </r>
      </text>
    </comment>
    <comment ref="Y28" authorId="0" shapeId="0" xr:uid="{E21E69A0-1E98-4512-A43A-4637AE0CAD0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octubre de 2021</t>
        </r>
      </text>
    </comment>
    <comment ref="Z28" authorId="0" shapeId="0" xr:uid="{0656159B-4CC9-4BF3-9C08-CAA45A4F2DC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8 de noviembre de 2021</t>
        </r>
      </text>
    </comment>
    <comment ref="AA28" authorId="0" shapeId="0" xr:uid="{CB0D63BC-2334-4BAF-9328-B76BD7218D4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26 de enero de 2022</t>
        </r>
      </text>
    </comment>
    <comment ref="AB28" authorId="0" shapeId="0" xr:uid="{119CE283-373C-46C6-85D4-AF45A1B841F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24 de febrero de 2022</t>
        </r>
      </text>
    </comment>
    <comment ref="AC28" authorId="0" shapeId="0" xr:uid="{E988BDE3-82CF-4C31-9716-242EF3C3EDE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08 de marzo de 2022</t>
        </r>
      </text>
    </comment>
    <comment ref="AD28" authorId="0" shapeId="0" xr:uid="{6EB054C8-9ECA-46FB-9B31-E852705544B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04 de marzo de 2022</t>
        </r>
      </text>
    </comment>
    <comment ref="AE28" authorId="0" shapeId="0" xr:uid="{6AECAB08-C71B-4B8F-A448-D655FD4053C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7 de abril de 2022</t>
        </r>
      </text>
    </comment>
    <comment ref="AG28" authorId="0" shapeId="0" xr:uid="{6745D046-2345-4CC3-A088-04BDC028DFE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octubre de 2022</t>
        </r>
      </text>
    </comment>
    <comment ref="AH28" authorId="0" shapeId="0" xr:uid="{455B3575-551B-4D6B-9344-587D144BA75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22 de noviembre de 2022</t>
        </r>
      </text>
    </comment>
    <comment ref="AI28" authorId="0" shapeId="0" xr:uid="{7E666C53-32A1-482E-AD38-09DA7B55608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noviembre de 2022</t>
        </r>
      </text>
    </comment>
    <comment ref="AJ28" authorId="0" shapeId="0" xr:uid="{80EB4B65-EC44-42CA-B505-9DC85D54C63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noviembre de 2022</t>
        </r>
      </text>
    </comment>
    <comment ref="AK28" authorId="0" shapeId="0" xr:uid="{191950FD-FD31-4E8B-A9EF-56857357E6F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L28" authorId="0" shapeId="0" xr:uid="{41DEEDC7-96EA-427C-9174-CC10973DBC95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M28" authorId="0" shapeId="0" xr:uid="{4395AB46-5E21-454B-AB41-1EFF6D5F5AA0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N28" authorId="0" shapeId="0" xr:uid="{B0315603-A398-4474-98D7-88A08A9671D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O28" authorId="0" shapeId="0" xr:uid="{B16FED50-5C1C-4902-810F-C46F0955B645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(14-09-2023)</t>
        </r>
      </text>
    </comment>
    <comment ref="AP28" authorId="0" shapeId="0" xr:uid="{456A5E78-835C-41B0-91F7-2A111CC5467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(03-04-2023)</t>
        </r>
      </text>
    </comment>
    <comment ref="AQ28" authorId="0" shapeId="0" xr:uid="{026B2767-96BC-423E-8D14-4A4F4768D91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(10-04-2023)</t>
        </r>
      </text>
    </comment>
    <comment ref="AR28" authorId="0" shapeId="0" xr:uid="{C8505717-F0D1-44F1-922F-05D6A274CC4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(03-04-2023)</t>
        </r>
      </text>
    </comment>
    <comment ref="AT28" authorId="0" shapeId="0" xr:uid="{16B43871-89E1-44E8-AC24-D314FBE7A0F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AU28" authorId="0" shapeId="0" xr:uid="{26EDB7D9-0511-416E-B819-A5CFC1DCD63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24 de agosto de 2023</t>
        </r>
      </text>
    </comment>
    <comment ref="AV28" authorId="0" shapeId="0" xr:uid="{C0751D0A-2A76-4270-AC29-B07BC873316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septiembre de 2023
</t>
        </r>
      </text>
    </comment>
    <comment ref="AW28" authorId="0" shapeId="0" xr:uid="{99291C9F-1A92-425D-8042-8F1E9DC3FBD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09 de agosto de 2023</t>
        </r>
      </text>
    </comment>
    <comment ref="AX28" authorId="0" shapeId="0" xr:uid="{937D0F45-30FF-49E7-AA63-06116FE8686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07 de agosto de 2023</t>
        </r>
      </text>
    </comment>
    <comment ref="AY28" authorId="0" shapeId="0" xr:uid="{DDB8AA67-CED0-4695-81D5-8A3EF1A9039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30 de enero de 2024</t>
        </r>
      </text>
    </comment>
    <comment ref="AZ28" authorId="0" shapeId="0" xr:uid="{96B63912-AEB8-4C23-B8D3-41160E52E8B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26 de enero de 2024</t>
        </r>
      </text>
    </comment>
    <comment ref="BA28" authorId="0" shapeId="0" xr:uid="{C326C571-1E09-41A9-B7F2-CBE79985E01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febrero de 2024</t>
        </r>
      </text>
    </comment>
    <comment ref="BB28" authorId="0" shapeId="0" xr:uid="{B12D63AD-5B2B-4241-80C9-860516AC996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mayo de 2024</t>
        </r>
      </text>
    </comment>
    <comment ref="BC28" authorId="0" shapeId="0" xr:uid="{1B4AE511-E505-4EAD-8482-1F808264D63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09 de mayo de 2024</t>
        </r>
      </text>
    </comment>
    <comment ref="BD28" authorId="0" shapeId="0" xr:uid="{3A0B53AF-B96D-4F60-99D1-42935F8AC6F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mayo de 2024</t>
        </r>
      </text>
    </comment>
    <comment ref="BE28" authorId="0" shapeId="0" xr:uid="{FBC921E5-6D2C-4B26-988A-002BDCEFFE8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10 de mayo de 2024</t>
        </r>
      </text>
    </comment>
    <comment ref="BG28" authorId="0" shapeId="0" xr:uid="{5CDD5CBE-9C2F-4B5B-A3CC-86683361A37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20 de mayo de 2024</t>
        </r>
      </text>
    </comment>
    <comment ref="BH28" authorId="0" shapeId="0" xr:uid="{1CDC5505-11DA-4712-9C95-55DF41F1994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05 de junio de 2024</t>
        </r>
      </text>
    </comment>
    <comment ref="BI28" authorId="0" shapeId="0" xr:uid="{01CB7166-E904-4A4D-8DAD-3D4F20090C6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julio de 2024</t>
        </r>
      </text>
    </comment>
    <comment ref="G29" authorId="0" shapeId="0" xr:uid="{C42A2631-A237-45FA-80CB-4109F0E46CA1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enero 2020 Porción 2013 (24-6-2020) 994,938.09
enero 2020 Porción 2011 (25-6-2020) 1,146,534.77
P. Minima  enero 2020 (26-6-2020) 1,087,818.73
enero 2020 Porción 2012 (13-7-2020) 1,453,942.56</t>
        </r>
      </text>
    </comment>
    <comment ref="H29" authorId="0" shapeId="0" xr:uid="{D75DA122-7CF2-450A-9E02-BDA1591CC10C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febrero 2020 Porción 2011 B/. 1,142,473.10 (15-10-20)
febrero 2020 Porción 2012 B/. 1,452,189.24 (17-12-20)
febrero 2020 Porción 2013 B/. 994,560.13  (17-12-20)
P. Minima  febrero 2020 (6-7-2020) 2,057,904.08</t>
        </r>
      </text>
    </comment>
    <comment ref="K29" authorId="0" shapeId="0" xr:uid="{2DA56270-1740-4E12-844A-89B0BA10CA12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mayo 2020 Porción 2011 B/. 3,416,741.99 (23-12-2020)
</t>
        </r>
      </text>
    </comment>
    <comment ref="L29" authorId="0" shapeId="0" xr:uid="{806A7676-296E-4D60-A158-D7561395F8F0}">
      <text>
        <r>
          <rPr>
            <b/>
            <sz val="24"/>
            <color indexed="81"/>
            <rFont val="Tahoma"/>
            <family val="2"/>
          </rPr>
          <t xml:space="preserve">Guevara Quintero, Zuleika:enero 2020 
junio 2020 Porción 2011 1,124,152.03 (23-12-2020)
junio 2020 Porción 2012 (23-12-2020) 1,420,021.47 
junio 2020 Porción 2013 (19-10-2020) 972,995.95
junio P. Minima  2020  (23-12-2020) 1,345,648.63  
</t>
        </r>
      </text>
    </comment>
    <comment ref="O29" authorId="0" shapeId="0" xr:uid="{96EB3821-0E17-4FD9-BEF0-73878F593BFA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septiembre 2020 Porción 2011 B/. 95.00 (24-12-2020) PRAA
</t>
        </r>
      </text>
    </comment>
    <comment ref="P29" authorId="0" shapeId="0" xr:uid="{932434FC-8E97-433C-A690-7D471639A2FC}">
      <text>
        <r>
          <rPr>
            <b/>
            <sz val="26"/>
            <color indexed="81"/>
            <rFont val="Tahoma"/>
            <family val="2"/>
          </rPr>
          <t>Guevara Quintero, Zuleika:
P.Minima Julio, Agosto y Octubre 2020  (16-3-2021)</t>
        </r>
        <r>
          <rPr>
            <sz val="26"/>
            <color indexed="81"/>
            <rFont val="Tahoma"/>
            <family val="2"/>
          </rPr>
          <t xml:space="preserve">
</t>
        </r>
      </text>
    </comment>
    <comment ref="Q29" authorId="0" shapeId="0" xr:uid="{5534E2D5-E59F-4491-8AEE-672FFDF13BCC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noviembre 2020 Porción 2011 B/. 1,113,664.57
noviembre 2020 Porción 2012 B/.1,332,029.20
noviembre 2020 Porción 2013 B/. 965,893.83 (24-12-2020)
noviembre P. Minima  2020  B/. 1,464,186.32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29" authorId="0" shapeId="0" xr:uid="{A93CAB18-DCE3-415D-A244-4E49F8828A4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julio de 2021</t>
        </r>
      </text>
    </comment>
    <comment ref="V29" authorId="0" shapeId="0" xr:uid="{791D2E0E-051D-40DC-8330-15177CB141B3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11 de enero de 2022
</t>
        </r>
      </text>
    </comment>
    <comment ref="W29" authorId="0" shapeId="0" xr:uid="{F9C8A053-4595-4656-837A-867775B455E5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18 de agosto de 2021</t>
        </r>
      </text>
    </comment>
    <comment ref="X29" authorId="0" shapeId="0" xr:uid="{1B8A2527-C90E-4C93-8BAA-44881BF009AF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Porción 2013 de mayo B/. 935,875.56 (31-01-2022)
Porción 2011 mayo 2021 (16-02-2022) B/.1,081,062.18
Porción 2012 mayo 2021 (16-02-2022) B/. 1,365,701.85
P.Minima mayo 2021 (16-02-2022) B/. 1,627,599.14</t>
        </r>
      </text>
    </comment>
    <comment ref="Y29" authorId="0" shapeId="0" xr:uid="{0820B7A2-7163-4EF0-808F-EDB8944967E5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P. Minima de junio B/. 1,790,937.04 (8-11-2021)
Porción 2011 de junio B/. 1,076,948.69 (21-01-2022)
Porción 2012 de junio B/. 1,362,901.22 (21-01-2022)
Porción 2013 de junio B/. 934,720.87 (31-01-2022)</t>
        </r>
      </text>
    </comment>
    <comment ref="Z29" authorId="0" shapeId="0" xr:uid="{E145A8A4-5EAB-4615-AF4E-47BF890FE93C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Porción 2011 de julio  (8-11-2021) B/. 1,079,907.18
P.Minima de julio (14-01-2022) B/.1,640,225.10
Porción 2012 de julio  (14-01-2022) B/.1,177,835.03
Porción 2013 de julio  (31-01-2022) B/.932,198.87</t>
        </r>
      </text>
    </comment>
    <comment ref="AA29" authorId="1" shapeId="0" xr:uid="{6E641FB3-8353-49AE-8434-1DA8B3D80D4E}">
      <text>
        <r>
          <rPr>
            <b/>
            <sz val="20"/>
            <color indexed="81"/>
            <rFont val="Tahoma"/>
            <family val="2"/>
          </rPr>
          <t>Zuleika:</t>
        </r>
        <r>
          <rPr>
            <sz val="20"/>
            <color indexed="81"/>
            <rFont val="Tahoma"/>
            <family val="2"/>
          </rPr>
          <t xml:space="preserve">
Porción 2012 de agosto (25-01-2022) B/.581,842.66
P.Minima agosto 2021 (21-02-2022) B/. 1,627,621.52
Porción 2011 agosto 2021 (16-02-2022) B/.1,070,714.31
Porción 2013 agosto 2021 (16-02-2022) B/.929,795.05</t>
        </r>
      </text>
    </comment>
    <comment ref="AB29" authorId="1" shapeId="0" xr:uid="{9A27904F-8B48-4C79-ABAB-15E789019421}">
      <text>
        <r>
          <rPr>
            <b/>
            <sz val="18"/>
            <color indexed="81"/>
            <rFont val="Tahoma"/>
            <family val="2"/>
          </rPr>
          <t>Zuleika:</t>
        </r>
        <r>
          <rPr>
            <sz val="18"/>
            <color indexed="81"/>
            <rFont val="Tahoma"/>
            <family val="2"/>
          </rPr>
          <t xml:space="preserve">
Porción 2012 septiembre 2021 (24-02-2022) B/. 1,344,688.86
Porción 2011 septiembre 2021 (24-02-2022) B/.1,070,096.89
Porción 2013 septiembre 2021 (08-02-2022) B/.925,010.20
P. Minima septiembre 2021 (11-04-2022) B/.1,674,575.90</t>
        </r>
      </text>
    </comment>
    <comment ref="AC29" authorId="0" shapeId="0" xr:uid="{91F90051-0C14-4690-93EB-3196E8BC0AB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Porción 2012 octubre de 2021 (08-03-2022) B/.1,344,187.37
Porción 2011 octubre 2021 (08-03-2022) B/.1,065,999.47
P. Minima octubre 2021 (11-04-2022) B/. 1,530,708.90
Porción 2013 octubre 2021 (11-04-2022) B/. 921,263.56
</t>
        </r>
      </text>
    </comment>
    <comment ref="AD29" authorId="0" shapeId="0" xr:uid="{E3C4B139-DED6-4FB7-BCD9-E3E614C0093F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P.Minima noviembre 2021 (08-03-2022) B/. 1,698,604.88
Porción 2012 noviembre 2021 (07-04-2022) B/. 1,274,683.19
Porción 2011 noviembre 2021 (07-04-2022) B/. 1,073,967.97
Porción 2013 noviembre 2021 (8-04-2022) B/.926,777.90
</t>
        </r>
      </text>
    </comment>
    <comment ref="AE29" authorId="0" shapeId="0" xr:uid="{7F431428-F2ED-4DAD-BDFF-A897A0745517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P.Minima diciembre 2021 (7-04-2022) B/. 1,747,815.25
Porción 2012 diciembre 2021 (07-04-2022) B/. 1,270,524.32
Porción 2011 diciembre 2021 (07-04-2022) B/. 1,068,033.13
Porción 2013 diciembre 2021 (8-04-2022) B/. 924,313.96</t>
        </r>
      </text>
    </comment>
    <comment ref="AG29" authorId="0" shapeId="0" xr:uid="{EF7B2089-684C-433A-BA37-CF3CAC9B76D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Porción 2013 enero 2022 (16-05-2022) B/. 888,513.55
Porción 2012 enero 2022 (12-10-2022) B/. 1,448,233.57
Porción 2011 enero 2022 (12-10-2022) B/. 1,032,215.35
P. minima de enero 2022 (18-10-2022) B/. 1,490,474.47</t>
        </r>
      </text>
    </comment>
    <comment ref="AH29" authorId="0" shapeId="0" xr:uid="{0C782EC0-7B11-4755-9508-77601CBA465B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Porción 2012 febrero 2022 (13-05-2022) B/. 1,320,932.77
Porción 2013 febrero 2022 (29-06-2022) B/. 905,899.10
P. Minima de febrero 2022 (19-10-2022)  B/.1,769,408.28
Porción 2011 febrero 2022 (22-11-2022) B/. 1,047,817.03</t>
        </r>
      </text>
    </comment>
    <comment ref="AI29" authorId="0" shapeId="0" xr:uid="{5A32885B-A649-4676-8ABF-4E9BB1B2CBEB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Porción 2013 de marzo 2022 (21-10-2022) B/. 901,410.00  
Porción 2012 de marzo 2022 (25-11-2022) B/. 1,312,756.88 
Porción 2011 de marzo 2022 (25-11-2022) B/. 1,044,316.70
P. Minima de marzo 2022 (25-11-2022) B/. 1,719,235.42</t>
        </r>
      </text>
    </comment>
    <comment ref="AJ29" authorId="0" shapeId="0" xr:uid="{A719436D-2665-4756-95B5-6609328E7406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Porción 2013 de abril 2022 (21-10-2022) B/. 898,064.60
P. Minima de abril 2022 (6-12-2022) B/. 1,808,767.92.
Porción 2012 de abril 2022 (06-12-2022) B/. 1,310,177.85
Porción 2011 de abril 2022 (06-12-2022) B/.1,040,680.85</t>
        </r>
      </text>
    </comment>
    <comment ref="AK29" authorId="0" shapeId="0" xr:uid="{46174384-4A4A-4E84-8C26-1E5C5DDC317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Porción 2013 de mayo 2022 (19-10-2022) B/. 898,086.88
Porción 2012 de mayo 2022 (19-12-2022) B/. 1,306,904.29
P. Minima de mayo 2022 (19-12-2022) B/. 1,696,712.60
Porción 2011 de mayo 2022 (12-12-2022) B/. 1,037,311.43</t>
        </r>
      </text>
    </comment>
    <comment ref="AL29" authorId="0" shapeId="0" xr:uid="{A7A7380C-DB7E-4351-ACFB-75E066C64D42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Porción 2011 de junio 2022 (19-12-2022) B/.1,031,898.13
P. Minima de junio 2022 (19-12-2022) B/.1,633,010.66
Porción 2013 de junio (19-12-2022) B/.893,514.27
Porción 2012 de junio (19-12-2022) B/.1,302,541.34</t>
        </r>
      </text>
    </comment>
    <comment ref="AM29" authorId="0" shapeId="0" xr:uid="{FFFC4544-2A89-47EC-9FDB-CEA68C5A464E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Porción 2013 de julio de 2022 (19-12-2022) B/.892,953.03
P. Minima de julio de 2022 (19-12-2022) B/.2,007,592.45
Porción 2011 de julio de 2022 (19-12-2022) B/.1,036,259.80
Porción 2012 de julio de 2022 (09-12-2022) B/.1,301,930.47</t>
        </r>
      </text>
    </comment>
    <comment ref="AN29" authorId="0" shapeId="0" xr:uid="{1C2D4269-FB31-4521-B734-0BA3F054170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Porción 2012 de agosto 2022  (19-12-2022) B/.1,297,866.87
Porción 2011 de agosto 2022 (19-12-2022) B/.1,031,052.78
P. Minima de agosto 2022 ( 19-12-2022) B/. 1,762,757.32
Porción 2013 de agosto 2022 (07-03-2023) B/.890,605.23</t>
        </r>
      </text>
    </comment>
    <comment ref="AO29" authorId="0" shapeId="0" xr:uid="{99C0C8E4-1BA2-4A3A-A759-6DCF06BA416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P. Minima de septiembre 2022 (07-02-2023) B/.1,861,688.97
Porción 2012 de septiembre 2022 (03-02-2023) B/. 1,292,076.12
Porción 2013 de septiembre 2022 (03-02-2023) B/. 886,528.04
Porción 2011 de septiembre 2022 (10-04-2023) B/. 1,023,683.49</t>
        </r>
      </text>
    </comment>
    <comment ref="AP29" authorId="0" shapeId="0" xr:uid="{0ACA4CCD-0B08-4428-BE5D-E81B249C19ED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Porción 2011 de octubre 2022 (03-04-2023) B/.1,023,253.85
Porción 2013 de octubre 2022 (03-04-2023) B/.885,005.00
Porción 2012 de octubre 2022 (03-04-2023) B/.1,289,224.81
P. Minima de octubre 2022 (03-04-2023) B/.2,022,696.95
</t>
        </r>
      </text>
    </comment>
    <comment ref="AQ29" authorId="0" shapeId="0" xr:uid="{824BE363-61BE-46B6-98B8-EE4F503454F6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Porción 2013 de noviembre 2022 (10-04-2023) B/.890,371.16
Porción 2011 de noviembre 2022 (10-04-2023) B/.1,029,325.98
Porción 2012 de noviembre 2022 (03-04-2023) B/.1,296,940.94
P. Minima de noviembre 2022 (03-04-2023) B/.1,870,799.45
</t>
        </r>
      </text>
    </comment>
    <comment ref="AR29" authorId="0" shapeId="0" xr:uid="{30EDE89E-C31A-4945-AB1E-CC40260599E6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Porción 2012 de diciembre 2022 (10-04-2023) B/.1,304,657.07
Porción 2011 de diciembre 2022 (03-04-2023) B/.1,083,077.74
Porción 2013 de diciembre 2022 (03-04-2023) B/.895,764.32</t>
        </r>
      </text>
    </comment>
    <comment ref="AT29" authorId="0" shapeId="0" xr:uid="{52458312-6B24-43BF-B74C-9D81B5AB25B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Porción 2013 de enero de 2023 (25-08-2023) B/.844,701.89
Porción 2011 de enero de 2023 (25-08-2023) B/.933,812.35
P. Minima de enero de 2023 (08-09-2023)  B/. 1,540,297.97
Porción 2012 de enero de 2023 (08-09-2023) B/.1,226,775.87</t>
        </r>
      </text>
    </comment>
    <comment ref="AU29" authorId="0" shapeId="0" xr:uid="{BD508382-7DDA-44D5-807F-F8EDF68CE5A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P. Mínima de febrero de 2023 (28-08-2023) B/. 1,795,094.38
Porción 2012 de febrero de 2023 (28-08-2023) B/.1,267,181.08
Porción 2013 de febrero de 2023 (25-08-2023) B/.869,759.30
Porción 2011 de febrero de 2023 (23-08-2023) B/.1,008,275.11</t>
        </r>
      </text>
    </comment>
    <comment ref="AV29" authorId="0" shapeId="0" xr:uid="{BEDB0EF0-DE4B-416B-BF0D-57914F3B10F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Porción 2013 de marzo de 2023 (23-08-2023) B/.865,618.23
Porción 2011 de marzo de 2023 (18-09-2023) B/.1,001,354.16
P. Mínima de marzo de 2023 (15-09-2023) B/. 1,791,473.52
Porción 2012 de marzo de 2023 (19-12-2023) B/.1,256,840.63</t>
        </r>
      </text>
    </comment>
    <comment ref="AW29" authorId="0" shapeId="0" xr:uid="{5D72ACDE-4022-4528-99A2-203C6D02ACC5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Porción 2013 de abril de 2023 (23-08-2023) B/.863,948.03
Porción 2011 de abril de 2023 (17-08-2023) B/.999,454.34
P. Minima de abril de 2023 (05-09-2023) B/.1,880,528.93
Porción 2012 de abril de 2023 (19-12-2023) B/.1,258,186.37</t>
        </r>
      </text>
    </comment>
    <comment ref="AX29" authorId="0" shapeId="0" xr:uid="{345E19F4-73AC-475D-BC96-0FF843B7BDEE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Porción 2013 de mayo de 2023 (21-07-2023) B/.861,155.99
Porción 2011 de mayo de 2023 (28-07-2023) B/.998,773.89
P. Minima de mayo de 2023 (09-08-2023) B/.1,852,590.56
Porción 2012 de mayo de 2023 (05-09-2023) B/.1,254,633.67</t>
        </r>
      </text>
    </comment>
    <comment ref="AY29" authorId="0" shapeId="0" xr:uid="{A7A7CBFC-CAB7-433E-B285-5E89156A0DD5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Porción 2012 de junio de 2023 (30-01-2024) B/.1,252,038.41
P. Minima de junio de 2023 (30-01-2024) B/.1,877,735.40
Porción 2011 de junio de 2023 (09-02-2024) B/. 995,807.78
Porción 2013 de junio de 2023 (09-02-2024) B/.859,469.03
</t>
        </r>
      </text>
    </comment>
    <comment ref="AZ29" authorId="0" shapeId="0" xr:uid="{1422B02E-4C46-4987-A1C0-0F5E02A78A4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Porción 2011 de julio de 2023 (29-01-2024) B/. 988,143.56
Porción 2013 de julio de 2023 (29-01-2024) B/. 853,616.82
P. Minima de julio de 2023 (08-02-2024) B/.1,902,443.44
Porción 2012 de julio de 2023 (05-02-2024) B/.1,243,417.59
</t>
        </r>
      </text>
    </comment>
    <comment ref="BA29" authorId="0" shapeId="0" xr:uid="{8E2987F8-E872-4F87-BC1B-A0D081B4488A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P. Minima de agosto de 2023 (21-02-2024) B/.1,948,552.57
Porción 2012 de agosto de 2023 (19-02-2024) B/.1,230,564.88
Porción 2011 de agosto de 2023 (02-02-2024) B/.986,080.63
Porción 2013 de agosto de 2023 (02-02-2024) B/.849,605.92</t>
        </r>
      </text>
    </comment>
    <comment ref="BB29" authorId="0" shapeId="0" xr:uid="{2363EDF1-0424-4B59-8F25-7050320A9E20}">
      <text>
        <r>
          <rPr>
            <b/>
            <sz val="20"/>
            <color indexed="81"/>
            <rFont val="Tahoma"/>
            <family val="2"/>
          </rPr>
          <t xml:space="preserve">Guevara Quintero, Zuleika:
</t>
        </r>
        <r>
          <rPr>
            <sz val="20"/>
            <color indexed="81"/>
            <rFont val="Tahoma"/>
            <family val="2"/>
          </rPr>
          <t xml:space="preserve">P. Minima de septiembre de 2023 (02-02-2024) B/.1,874,084.81
Porción 2013 de septiembre de 2023 (02-02-2024) B/.847,959.53
Porción 2012 de septiembre de 2023 (13-05-2024) B/.1,235,971.88
Porción 2011 de septiembre de 2023 (13-05-2024) B/.987,110.47
</t>
        </r>
      </text>
    </comment>
    <comment ref="BC29" authorId="0" shapeId="0" xr:uid="{8E1E0479-B4A7-49B5-800E-4D597A36379B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P. Minima de octubre de 2023 (13-05-2024) B/.2,121,244.96
Porción 2011 de octubre de 2023 (13-05-2024) B/.981,130.46
Porción 2012 de octubre de 2023 (09-05-2024) B/.1.233,825.59
Porción 2013 de octubre de 2023 (09-05-2024) B/.847,700.62</t>
        </r>
      </text>
    </comment>
    <comment ref="BD29" authorId="0" shapeId="0" xr:uid="{4926EE29-A154-48D4-A080-A4AB0AC59937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P. Mínima de noviembre de 2023 (10-05-2024) B/.2,064,632.13
Porción 2011 de noviembre de 2023 (09-05-2024) B/.986,470.19
Porción 2012 de noviembre de 2023 (09-05-2024) B/.1,235,971.88
Porción 2013 de noviembre de 2023 (09-05-2024) B/.847,959.53
</t>
        </r>
      </text>
    </comment>
    <comment ref="BE29" authorId="0" shapeId="0" xr:uid="{DECF009A-1319-4212-B868-C6971A677F06}">
      <text>
        <r>
          <rPr>
            <b/>
            <sz val="20"/>
            <color indexed="81"/>
            <rFont val="Tahoma"/>
            <family val="2"/>
          </rPr>
          <t xml:space="preserve">
Porción 2013 de diciembre de 2023 (13-05-2024) B/. 848,218.44
P. Mínima de diciembre de 2023 (10-05-2024) B/.2,101,548.59
Porción 2012 de diciembre de 2023 (10-05-2024) B/.1,238,118.17
Porción 2011 de diciembre de 2023 (03-05-2024) B/.994,903.30</t>
        </r>
      </text>
    </comment>
    <comment ref="BG29" authorId="0" shapeId="0" xr:uid="{D44A6FC8-E0B7-42C2-A9AC-26029C13089A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Porción 2013 de enero de 2024 (21-05-2024) B/. 819,392.11
Porción 2012 de enero de 2024 (20-05-2024) B/. 1,178,369.50
P. Mínima de enero de 2024 (20-05-2024) B/.1,215,442.56
Porción 2011 de enero de 2024 (17-05-2024) B/. 943,659.28
</t>
        </r>
      </text>
    </comment>
    <comment ref="BH29" authorId="0" shapeId="0" xr:uid="{D6319CA5-868F-4575-BC2D-52A1AAD0159C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Porción 2011 de febrero de 2024 (06-06-2024) B/. 971,862.22
Porción 2013 de febrero de 2024 (06-06-2024) B/. 834,216.42
Porción 2012 de febrero de 2024 (05-06-2024) B/.1,215,027.21
P. Mínima de febrero de 2024 (05-06-2024) B/.1,795,758.58</t>
        </r>
      </text>
    </comment>
    <comment ref="BI29" authorId="0" shapeId="0" xr:uid="{CA9673A3-9BCE-4E24-87AF-077EBBF241B1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Porción 2012 de marzo de 2024 (12-07-2024) B/. 1,206,552.36
Porción 2013 de marzo de 2024 (11-07-2024) B/. 829,135.58
Porción 2011 de marzo de 2024 (11-07-2024) B/. 961,705.43
</t>
        </r>
      </text>
    </comment>
    <comment ref="BJ29" authorId="0" shapeId="0" xr:uid="{1118CC96-46B9-4682-B545-85CACB4AE635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Porción 2012 de abril de 2024 (12-07-2024) B/. 1,203,521.65
Porción 2013 de abril de 2024 (12-07-2024) B/. 829,305.21
P. Mínima de abril de 2024 (12-07-2024) B/.1,976,897.21
Porción 2011 de abril de 2024 (11-07-2024) B/. 964,616.08
</t>
        </r>
      </text>
    </comment>
    <comment ref="G33" authorId="0" shapeId="0" xr:uid="{EFA24BFF-D7B8-48E5-A2CC-D5D715254139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 de julio de 2020</t>
        </r>
      </text>
    </comment>
    <comment ref="H33" authorId="0" shapeId="0" xr:uid="{48822217-ABB8-4D50-B620-95903756EF16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17 de diciembre de 2020</t>
        </r>
      </text>
    </comment>
    <comment ref="K33" authorId="0" shapeId="0" xr:uid="{CF56693C-8C6F-4052-8658-96B0137F8B84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 30 de noviembre de 2020</t>
        </r>
      </text>
    </comment>
    <comment ref="L33" authorId="0" shapeId="0" xr:uid="{DBE958AD-DB0C-419D-B79A-3EF0313A016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13 de octubre de 2020</t>
        </r>
      </text>
    </comment>
    <comment ref="Q33" authorId="0" shapeId="0" xr:uid="{15706264-13A4-4721-A19A-ACE7D6CFCC10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26 de marzo de 2021
</t>
        </r>
      </text>
    </comment>
    <comment ref="R33" authorId="0" shapeId="0" xr:uid="{5C9A629A-269C-4258-A5E4-B9130D9F1E7D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26 de marzo de 2021
</t>
        </r>
      </text>
    </comment>
    <comment ref="T33" authorId="0" shapeId="0" xr:uid="{C3515928-DFF8-477F-B34B-735D125AB4E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julio de 2021</t>
        </r>
      </text>
    </comment>
    <comment ref="U33" authorId="0" shapeId="0" xr:uid="{9062ABCD-E3CE-4E84-9D8E-3963A29E2D1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julio de 2021</t>
        </r>
      </text>
    </comment>
    <comment ref="V33" authorId="0" shapeId="0" xr:uid="{14F0C40E-E320-485C-A631-5A7C752D91A0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11 de enero de 2022
</t>
        </r>
      </text>
    </comment>
    <comment ref="W33" authorId="0" shapeId="0" xr:uid="{2A7AE19E-4044-4560-A1FE-4BD7C91C86C2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18 de agosto de 2021</t>
        </r>
      </text>
    </comment>
    <comment ref="X33" authorId="0" shapeId="0" xr:uid="{AF59F4D8-8098-4D65-824F-65CF1F7C3EA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febrero de 2022</t>
        </r>
      </text>
    </comment>
    <comment ref="Y33" authorId="0" shapeId="0" xr:uid="{D6717928-B0B6-438A-97D7-C728FB4B8D5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febrero de 2022</t>
        </r>
      </text>
    </comment>
    <comment ref="Z33" authorId="0" shapeId="0" xr:uid="{CBF80E3C-2989-4251-8B0D-ACAD26919AF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07 de febrero de 2022</t>
        </r>
      </text>
    </comment>
    <comment ref="AA33" authorId="0" shapeId="0" xr:uid="{E2BEFDCA-7B12-4141-90F8-3B9637ADB27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02 de febrero de 2022</t>
        </r>
      </text>
    </comment>
    <comment ref="AB33" authorId="0" shapeId="0" xr:uid="{67E315D5-E291-479D-BAC7-F3416543C1B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03
 de marzo de 2022</t>
        </r>
      </text>
    </comment>
    <comment ref="AC33" authorId="0" shapeId="0" xr:uid="{FB36CAF3-306F-4AF1-A919-7351C54E24B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11 de abril de 2022</t>
        </r>
      </text>
    </comment>
    <comment ref="AD33" authorId="0" shapeId="0" xr:uid="{B890DCE1-F7A5-40F3-BD51-425AA368679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04 de marzo de 2022</t>
        </r>
      </text>
    </comment>
    <comment ref="AE33" authorId="0" shapeId="0" xr:uid="{6F565F5F-C704-4E6E-A7F5-2F43EC36FC3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abril de 2022</t>
        </r>
      </text>
    </comment>
    <comment ref="AG33" authorId="0" shapeId="0" xr:uid="{BFBB7399-AA9A-41B0-A808-097A68B4CB71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pagada el 18 de octubre de 2022</t>
        </r>
      </text>
    </comment>
    <comment ref="AH33" authorId="0" shapeId="0" xr:uid="{023D235E-D04C-4A93-B18B-3163EA431CD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22 de noviembre de 2022</t>
        </r>
      </text>
    </comment>
    <comment ref="AJ33" authorId="0" shapeId="0" xr:uid="{6E069727-58A1-4111-BC26-ED6174B3B58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17 de octubre de 2022</t>
        </r>
      </text>
    </comment>
    <comment ref="AK33" authorId="0" shapeId="0" xr:uid="{3397D55A-BD0C-4292-821C-263191C52BC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(12-12-2022)</t>
        </r>
      </text>
    </comment>
    <comment ref="AL33" authorId="0" shapeId="0" xr:uid="{AD44E8C8-0EF9-4B08-AAD2-46969D2F7999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M33" authorId="0" shapeId="0" xr:uid="{81C77192-606D-41FB-9706-C28FA9128C5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(19-12-2022)</t>
        </r>
      </text>
    </comment>
    <comment ref="AN33" authorId="0" shapeId="0" xr:uid="{AE560155-5A0C-43CF-B0E0-081303CC19A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19 de diciembre de 2022</t>
        </r>
      </text>
    </comment>
    <comment ref="AO33" authorId="0" shapeId="0" xr:uid="{ABEE7E82-2864-43CA-ABFF-3C5356FD4536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10 de abril de 2023</t>
        </r>
      </text>
    </comment>
    <comment ref="AP33" authorId="0" shapeId="0" xr:uid="{A4D001FA-AA0E-43B1-A810-268CF7E2CFE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03 de abril de 2023</t>
        </r>
      </text>
    </comment>
    <comment ref="AQ33" authorId="0" shapeId="0" xr:uid="{3A484CBD-F685-4A54-B49D-A1AA19EDDF44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03 de abril de 2023</t>
        </r>
      </text>
    </comment>
    <comment ref="AT33" authorId="0" shapeId="0" xr:uid="{D9074120-3555-41BB-AF6A-EAC4F3170EF5}">
      <text>
        <r>
          <rPr>
            <b/>
            <sz val="16"/>
            <color indexed="81"/>
            <rFont val="Tahoma"/>
            <family val="2"/>
          </rPr>
          <t>Guevara Quintero, Zuleika:
PAGADA EL 19 DE DICIEMBRE DE 2023</t>
        </r>
      </text>
    </comment>
    <comment ref="AU33" authorId="0" shapeId="0" xr:uid="{8E1529CD-EE52-47A4-8978-EFDF195B8BC0}">
      <text>
        <r>
          <rPr>
            <b/>
            <sz val="16"/>
            <color indexed="81"/>
            <rFont val="Tahoma"/>
            <family val="2"/>
          </rPr>
          <t>Guevara Quintero, Zuleika:
PAGADA EL 19 DE DICIEMBRE DE 2023</t>
        </r>
      </text>
    </comment>
    <comment ref="AV33" authorId="0" shapeId="0" xr:uid="{04454A3D-A919-49DE-A013-3FC32E07555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septiembre de 2023</t>
        </r>
      </text>
    </comment>
    <comment ref="AW33" authorId="0" shapeId="0" xr:uid="{D96A3B84-011E-4E14-9A82-E7F275D3154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septiembre de 2023</t>
        </r>
      </text>
    </comment>
    <comment ref="AX33" authorId="0" shapeId="0" xr:uid="{2A14FA2C-B496-4A2A-9671-0BEBB5F4218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13 de septiembre de 2023</t>
        </r>
      </text>
    </comment>
    <comment ref="AY33" authorId="0" shapeId="0" xr:uid="{F8687853-3A7D-4199-A6D0-AC8E5525977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09 de febrero de 2024</t>
        </r>
      </text>
    </comment>
    <comment ref="AZ33" authorId="0" shapeId="0" xr:uid="{4E02BB0F-0A14-4F0B-B32D-D7F94A707FF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08 de febrero de 2024</t>
        </r>
      </text>
    </comment>
    <comment ref="BA33" authorId="0" shapeId="0" xr:uid="{6F1C26D4-0FE7-46ED-9B6C-329AA738E705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agosto 2023 (19-02-2024)</t>
        </r>
      </text>
    </comment>
    <comment ref="BB33" authorId="0" shapeId="0" xr:uid="{9A4CC676-DFA2-4423-B1F7-D3B1D12C51ED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septiembre 2023 (13-05-2024)</t>
        </r>
      </text>
    </comment>
    <comment ref="BC33" authorId="0" shapeId="0" xr:uid="{A9D49CB8-875B-45C7-A26A-ADE57885D058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octubre 2023 (07-02-2024)</t>
        </r>
      </text>
    </comment>
    <comment ref="BD33" authorId="0" shapeId="0" xr:uid="{560699C2-22F6-426E-9938-52DA9887C737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noviembre 2023 (13-05-2024)</t>
        </r>
      </text>
    </comment>
    <comment ref="BE33" authorId="0" shapeId="0" xr:uid="{DAFA1035-E209-4027-8851-39DC53134858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diciembre de 2023 (10-05-2024)</t>
        </r>
      </text>
    </comment>
    <comment ref="BG33" authorId="0" shapeId="0" xr:uid="{550F1D46-DD67-420F-976E-1B987D4D204A}">
      <text>
        <r>
          <rPr>
            <b/>
            <sz val="16"/>
            <color indexed="81"/>
            <rFont val="Tahoma"/>
            <family val="2"/>
          </rPr>
          <t>Guevara Quintero, Zuleika:
PAGADA EL 21 DE MAYO DE 2024</t>
        </r>
      </text>
    </comment>
    <comment ref="BH33" authorId="0" shapeId="0" xr:uid="{24F7B8C9-CF9F-4C76-AD36-337B607C09CA}">
      <text>
        <r>
          <rPr>
            <b/>
            <sz val="16"/>
            <color indexed="81"/>
            <rFont val="Tahoma"/>
            <family val="2"/>
          </rPr>
          <t>Guevara Quintero, Zuleika:
PAGADA EL 24 DE JUNIO DE 2024</t>
        </r>
      </text>
    </comment>
    <comment ref="G34" authorId="0" shapeId="0" xr:uid="{F7AA1798-EFC4-43B5-A1B0-330429EBFC4B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17 de diciembre de 2020</t>
        </r>
      </text>
    </comment>
    <comment ref="H34" authorId="0" shapeId="0" xr:uid="{2F260453-2C0E-4897-98F5-BEE4FE18DB14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23 de abril de 2020</t>
        </r>
      </text>
    </comment>
    <comment ref="K34" authorId="0" shapeId="0" xr:uid="{D49230F5-DB13-411D-8AEB-60EAE3588F07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 30 de noviembre de 2020</t>
        </r>
      </text>
    </comment>
    <comment ref="L34" authorId="0" shapeId="0" xr:uid="{4794C49C-50F9-433D-B5C6-101C3C9EF8BE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 22 de diciembrede 2020</t>
        </r>
      </text>
    </comment>
    <comment ref="P34" authorId="0" shapeId="0" xr:uid="{AD78F5F9-04D9-4144-8ADE-1F7281EC765C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16 de marzo de 2021
</t>
        </r>
      </text>
    </comment>
    <comment ref="Q34" authorId="0" shapeId="0" xr:uid="{BA0B29E3-C4B8-4D2F-8A3C-4F0298EEB353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31 de marzo de 2021
</t>
        </r>
      </text>
    </comment>
    <comment ref="R34" authorId="0" shapeId="0" xr:uid="{BCF8902A-6907-438C-98A3-AF02E8F5E33F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31 de marzo de 2021
</t>
        </r>
      </text>
    </comment>
    <comment ref="T34" authorId="0" shapeId="0" xr:uid="{2F1D3E24-FCDC-4D8D-A80A-AF26CBE493A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5 de julio de 2021</t>
        </r>
      </text>
    </comment>
    <comment ref="U34" authorId="0" shapeId="0" xr:uid="{2EF7997D-13DF-4E77-A7BD-261410C0379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5 de julio de 2021</t>
        </r>
      </text>
    </comment>
    <comment ref="V34" authorId="0" shapeId="0" xr:uid="{72974A76-E61A-4E49-B43E-3481E4F55AEC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11 de enero de 2022
</t>
        </r>
      </text>
    </comment>
    <comment ref="W34" authorId="0" shapeId="0" xr:uid="{116EB2F6-5965-4C00-A1F8-946E61558DA6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23 de agosto de 2021</t>
        </r>
      </text>
    </comment>
    <comment ref="X34" authorId="0" shapeId="0" xr:uid="{B082DBAD-FCAE-48B1-B862-2EC52ABA5E4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enero de 2022</t>
        </r>
      </text>
    </comment>
    <comment ref="Y34" authorId="0" shapeId="0" xr:uid="{F0C01ACA-2413-44E2-98FD-DBC413CF899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31 de enero de 2021</t>
        </r>
      </text>
    </comment>
    <comment ref="Z34" authorId="0" shapeId="0" xr:uid="{65D993B1-9EA2-4369-A0A8-121E08EDE44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enero de 2022</t>
        </r>
      </text>
    </comment>
    <comment ref="AA34" authorId="0" shapeId="0" xr:uid="{06C1AFD5-9C35-46CB-BCC2-494CE34E6D0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16 de febrero de 2022</t>
        </r>
      </text>
    </comment>
    <comment ref="AB34" authorId="0" shapeId="0" xr:uid="{7F5EA884-9878-4F91-93F2-E37270E307C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08 de febrero de 2022</t>
        </r>
      </text>
    </comment>
    <comment ref="AC34" authorId="0" shapeId="0" xr:uid="{1048348F-9BA5-4524-BD79-4598C7966DF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11 de abril de 2022</t>
        </r>
      </text>
    </comment>
    <comment ref="AD34" authorId="0" shapeId="0" xr:uid="{060B85B3-173C-42CC-A1B0-06CC7D973AC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8 de abril de 2022</t>
        </r>
      </text>
    </comment>
    <comment ref="AE34" authorId="0" shapeId="0" xr:uid="{25862546-8169-4D23-A623-8C4FEBB99DE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8 de abril de 2022</t>
        </r>
      </text>
    </comment>
    <comment ref="AG34" authorId="0" shapeId="0" xr:uid="{F1B67DED-53F4-4BF7-8CA5-E567553ABC75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enero 2022  (12-05-2022)</t>
        </r>
      </text>
    </comment>
    <comment ref="AH34" authorId="0" shapeId="0" xr:uid="{23D7ADB4-B9F2-4168-82FA-E0F080CA81E2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febrero  2022  (29-06-2022)</t>
        </r>
      </text>
    </comment>
    <comment ref="AI34" authorId="0" shapeId="0" xr:uid="{3581A21F-E0FD-4E75-817D-78ECCFC0093C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Pagada  el 21 de octubre de 2022</t>
        </r>
      </text>
    </comment>
    <comment ref="AJ34" authorId="0" shapeId="0" xr:uid="{07D3ADB1-03DD-442C-B244-81240C21BD28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Pagada  el 21 de octubre de 2022</t>
        </r>
      </text>
    </comment>
    <comment ref="AK34" authorId="0" shapeId="0" xr:uid="{B0E19081-EFEC-451A-B0E6-F2D8DC502599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19 de diciembre de 2022</t>
        </r>
      </text>
    </comment>
    <comment ref="AL34" authorId="0" shapeId="0" xr:uid="{AB53CBCB-2267-45FA-B493-484751658686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19 de diciembre de 2022</t>
        </r>
      </text>
    </comment>
    <comment ref="AM34" authorId="0" shapeId="0" xr:uid="{61529ACE-186D-4B41-8958-75721AD36BE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8 de noviembre de 2022</t>
        </r>
      </text>
    </comment>
    <comment ref="AN34" authorId="0" shapeId="0" xr:uid="{3CBED85B-E747-4F27-A75B-7CBF9F5C135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19 de diciembre de 2022</t>
        </r>
      </text>
    </comment>
    <comment ref="AO34" authorId="0" shapeId="0" xr:uid="{FA9CEA5A-8D00-4238-B7F5-7E675408907B}">
      <text>
        <r>
          <rPr>
            <b/>
            <sz val="16"/>
            <color indexed="81"/>
            <rFont val="Tahoma"/>
            <family val="2"/>
          </rPr>
          <t>Guevara Quintero, Zuleika:
PAGADA EL  8 DE AGOSTO  DE 2023</t>
        </r>
      </text>
    </comment>
    <comment ref="AP34" authorId="0" shapeId="0" xr:uid="{7762CEEB-89C8-4C33-B6AF-14D723581673}">
      <text>
        <r>
          <rPr>
            <b/>
            <sz val="16"/>
            <color indexed="81"/>
            <rFont val="Tahoma"/>
            <family val="2"/>
          </rPr>
          <t>Guevara Quintero, Zuleika:
PAGADA EL  03 DE ABRIL DE 2023</t>
        </r>
      </text>
    </comment>
    <comment ref="AQ34" authorId="0" shapeId="0" xr:uid="{6F6C57D1-D02A-4F5E-8F2F-BDD08935B00D}">
      <text>
        <r>
          <rPr>
            <b/>
            <sz val="16"/>
            <color indexed="81"/>
            <rFont val="Tahoma"/>
            <family val="2"/>
          </rPr>
          <t>Guevara Quintero, Zuleika:
PAGADA EL 10 DE ABRIL DE 2023</t>
        </r>
      </text>
    </comment>
    <comment ref="AR34" authorId="0" shapeId="0" xr:uid="{D0E19BCC-EBE9-4E85-A7A8-7B6843678F54}">
      <text>
        <r>
          <rPr>
            <b/>
            <sz val="16"/>
            <color indexed="81"/>
            <rFont val="Tahoma"/>
            <family val="2"/>
          </rPr>
          <t>Guevara Quintero, Zuleika:
PAGADA EL 3 DE ABRIL DE 2023</t>
        </r>
      </text>
    </comment>
    <comment ref="AT34" authorId="0" shapeId="0" xr:uid="{F3937EB1-DDA0-44C8-A6A7-4D381B283DF3}">
      <text>
        <r>
          <rPr>
            <b/>
            <sz val="16"/>
            <color indexed="81"/>
            <rFont val="Tahoma"/>
            <family val="2"/>
          </rPr>
          <t>Guevara Quintero, Zuleika:
PAGADA EL 25 DE AGOSTO DE 2023</t>
        </r>
      </text>
    </comment>
    <comment ref="AU34" authorId="0" shapeId="0" xr:uid="{FD51A61E-6735-4CB2-A914-63379E43F71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23 de agosto de 2023</t>
        </r>
      </text>
    </comment>
    <comment ref="AV34" authorId="0" shapeId="0" xr:uid="{7B5AFCDC-8896-4BBE-865C-A60B04612DD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agosto de 2023</t>
        </r>
      </text>
    </comment>
    <comment ref="AW34" authorId="0" shapeId="0" xr:uid="{5E98150C-7FDC-4561-A659-FF7C7010687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diciembre de 2023</t>
        </r>
      </text>
    </comment>
    <comment ref="AX34" authorId="0" shapeId="0" xr:uid="{CC8F017F-73F8-486D-905F-07A7702B8503}">
      <text>
        <r>
          <rPr>
            <b/>
            <sz val="16"/>
            <color indexed="81"/>
            <rFont val="Tahoma"/>
            <family val="2"/>
          </rPr>
          <t>Guevara Quintero, Zuleika:
PAGADA EL 21 DE JULIO DE 2023</t>
        </r>
      </text>
    </comment>
    <comment ref="AY34" authorId="0" shapeId="0" xr:uid="{379FEB59-4092-4302-9E02-903180AC015E}">
      <text>
        <r>
          <rPr>
            <b/>
            <sz val="16"/>
            <color indexed="81"/>
            <rFont val="Tahoma"/>
            <family val="2"/>
          </rPr>
          <t>Guevara Quintero, Zuleika:
PAGADA EL 09 DE FEBRERO DE 2024</t>
        </r>
      </text>
    </comment>
    <comment ref="AZ34" authorId="0" shapeId="0" xr:uid="{28A3B539-2BC2-42BE-A25A-9C0AF3FF5168}">
      <text>
        <r>
          <rPr>
            <b/>
            <sz val="16"/>
            <color indexed="81"/>
            <rFont val="Tahoma"/>
            <family val="2"/>
          </rPr>
          <t>Guevara Quintero, Zuleika:
PAGADA EL 31 DE ENERO DE 2024</t>
        </r>
      </text>
    </comment>
    <comment ref="BA34" authorId="0" shapeId="0" xr:uid="{1521780E-292A-4B40-ACBB-67E731BA03E3}">
      <text>
        <r>
          <rPr>
            <b/>
            <sz val="16"/>
            <color indexed="81"/>
            <rFont val="Tahoma"/>
            <family val="2"/>
          </rPr>
          <t>Guevara Quintero, Zuleika:
PAGADA EL 31 DE ENERO DE 2024</t>
        </r>
      </text>
    </comment>
    <comment ref="BB34" authorId="0" shapeId="0" xr:uid="{3AA69AE6-120E-4D14-94AF-A080D1A50961}">
      <text>
        <r>
          <rPr>
            <b/>
            <sz val="16"/>
            <color indexed="81"/>
            <rFont val="Tahoma"/>
            <family val="2"/>
          </rPr>
          <t>Guevara Quintero, Zuleika:
PAGADA EL 02 DE FEBRERO DE 2024</t>
        </r>
      </text>
    </comment>
    <comment ref="BC34" authorId="0" shapeId="0" xr:uid="{EA1346A0-39DD-4BC5-A051-FAC9B75E2DB5}">
      <text>
        <r>
          <rPr>
            <b/>
            <sz val="16"/>
            <color indexed="81"/>
            <rFont val="Tahoma"/>
            <family val="2"/>
          </rPr>
          <t>Guevara Quintero, Zuleika:
PAGADA EL 29 DE ENERO DE 2024</t>
        </r>
      </text>
    </comment>
    <comment ref="BD34" authorId="0" shapeId="0" xr:uid="{50356CE8-5A97-476F-BB2C-3E623EC45ADE}">
      <text>
        <r>
          <rPr>
            <b/>
            <sz val="16"/>
            <color indexed="81"/>
            <rFont val="Tahoma"/>
            <family val="2"/>
          </rPr>
          <t>Guevara Quintero, Zuleika:
PAGADA EL 13 DE MAYO DE 2024</t>
        </r>
      </text>
    </comment>
    <comment ref="BE34" authorId="0" shapeId="0" xr:uid="{22706FF0-3915-415F-97FD-E832CD13B430}">
      <text>
        <r>
          <rPr>
            <b/>
            <sz val="16"/>
            <color indexed="81"/>
            <rFont val="Tahoma"/>
            <family val="2"/>
          </rPr>
          <t>Guevara Quintero, Zuleika:
PAGADA EL 10 DE MAYO DE 2024</t>
        </r>
      </text>
    </comment>
    <comment ref="BG34" authorId="0" shapeId="0" xr:uid="{24C87B5C-CE83-4386-956A-E2D26CAB0F68}">
      <text>
        <r>
          <rPr>
            <b/>
            <sz val="16"/>
            <color indexed="81"/>
            <rFont val="Tahoma"/>
            <family val="2"/>
          </rPr>
          <t>Guevara Quintero, Zuleika:
PAGADA EL 15 DE MAYO DE 2024</t>
        </r>
      </text>
    </comment>
    <comment ref="BH34" authorId="0" shapeId="0" xr:uid="{E4F92739-74F8-40FE-8C81-BC4DE103078C}">
      <text>
        <r>
          <rPr>
            <b/>
            <sz val="16"/>
            <color indexed="81"/>
            <rFont val="Tahoma"/>
            <family val="2"/>
          </rPr>
          <t>Guevara Quintero, Zuleika:
PAGADA EL 06 DE JUNIO DE 2024</t>
        </r>
      </text>
    </comment>
    <comment ref="BI34" authorId="0" shapeId="0" xr:uid="{B853B5EF-2E97-4C93-85A2-D9124DEEB462}">
      <text>
        <r>
          <rPr>
            <b/>
            <sz val="16"/>
            <color indexed="81"/>
            <rFont val="Tahoma"/>
            <family val="2"/>
          </rPr>
          <t>Guevara Quintero, Zuleika:
PAGADA EL 11 DE JULIO DE 2024</t>
        </r>
      </text>
    </comment>
    <comment ref="BJ34" authorId="0" shapeId="0" xr:uid="{41E1F6B9-05A9-432A-9AF1-A9B6BB08A1BA}">
      <text>
        <r>
          <rPr>
            <b/>
            <sz val="16"/>
            <color indexed="81"/>
            <rFont val="Tahoma"/>
            <family val="2"/>
          </rPr>
          <t>Guevara Quintero, Zuleika:
PAGADA EL 11 DE JULIO DE 2024</t>
        </r>
      </text>
    </comment>
    <comment ref="G35" authorId="0" shapeId="0" xr:uid="{67EE7DE9-4B18-4066-AE36-4C897669635B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26 de junio de 2020</t>
        </r>
      </text>
    </comment>
    <comment ref="H35" authorId="0" shapeId="0" xr:uid="{CCF29C21-783E-4B8A-8CC7-349A2368BF09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 de julio de 2020</t>
        </r>
      </text>
    </comment>
    <comment ref="K35" authorId="0" shapeId="0" xr:uid="{1BE1A254-F1D5-4F6D-90B3-917CFF132B7C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 30 de noviembre de 2020</t>
        </r>
      </text>
    </comment>
    <comment ref="L35" authorId="0" shapeId="0" xr:uid="{E60A2D3A-BD8E-49BB-9CC8-6F9ABF11520D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16 de octubre de 2020</t>
        </r>
      </text>
    </comment>
    <comment ref="P35" authorId="0" shapeId="0" xr:uid="{A8BE23BC-18D6-4A20-8F1E-3028CD5EF611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3 de  febrero  de 2021</t>
        </r>
      </text>
    </comment>
    <comment ref="Q35" authorId="0" shapeId="0" xr:uid="{BD89BF0F-45FC-46BF-94DA-15C1C4E56D45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3 de  febrero  de 2021</t>
        </r>
      </text>
    </comment>
    <comment ref="U35" authorId="0" shapeId="0" xr:uid="{0F71F3ED-8F7A-4488-89BF-6FC516003B0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5 de julio de 2021</t>
        </r>
      </text>
    </comment>
    <comment ref="W35" authorId="0" shapeId="0" xr:uid="{EEFD00AF-6C92-4926-9F0A-FCA3B6579CA3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16 de junio de 2021</t>
        </r>
      </text>
    </comment>
    <comment ref="X35" authorId="0" shapeId="0" xr:uid="{E9840847-ADD9-481A-B46D-404CC2DB7AD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15 de julio de 2021</t>
        </r>
      </text>
    </comment>
    <comment ref="Y35" authorId="0" shapeId="0" xr:uid="{EFE3E4CC-BBF3-4B30-9388-1A1ECE9812E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enero de 2022</t>
        </r>
      </text>
    </comment>
    <comment ref="Z35" authorId="0" shapeId="0" xr:uid="{E83C97EF-0987-4596-BC66-6DA5107880E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14 de septiembre de 2021</t>
        </r>
      </text>
    </comment>
    <comment ref="AA35" authorId="0" shapeId="0" xr:uid="{70FFE0FA-D604-4EE6-A5D2-555F61F7580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8 de noviembre de 2021</t>
        </r>
      </text>
    </comment>
    <comment ref="AB35" authorId="0" shapeId="0" xr:uid="{EA00C74A-6A93-4EF8-9CC7-2FAFA0A85EA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12 de noviembre de 2021</t>
        </r>
      </text>
    </comment>
    <comment ref="AC35" authorId="0" shapeId="0" xr:uid="{72AE6E17-E7CD-4E33-BD0D-BA2D454929C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30 de noviembre de 2021</t>
        </r>
      </text>
    </comment>
    <comment ref="AD35" authorId="0" shapeId="0" xr:uid="{DD4612A2-C158-4FBA-9ABB-AEE84E9F2C3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26 de enero de 2022</t>
        </r>
      </text>
    </comment>
    <comment ref="AE35" authorId="0" shapeId="0" xr:uid="{605BED9E-6558-40D6-8C6F-A0325C44776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26 de enero de 2022</t>
        </r>
      </text>
    </comment>
    <comment ref="AG35" authorId="0" shapeId="0" xr:uid="{871EACCA-3517-470C-9883-410718CBA5C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4 de mayo de 2022</t>
        </r>
      </text>
    </comment>
    <comment ref="AH35" authorId="0" shapeId="0" xr:uid="{5893932B-7E26-466C-AA7A-6BAA2CB435BE}">
      <text>
        <r>
          <rPr>
            <b/>
            <sz val="16"/>
            <color indexed="81"/>
            <rFont val="Tahoma"/>
            <family val="2"/>
          </rPr>
          <t>Guevara Quintero, Zuleika:
febrero 2022 ( 27-06-2022)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</rPr>
          <t>La Gestión de Cobro AC- 5183  por B/. 134, 925.90, fue devuelta por el MINSA mediante Nota N°001/DF/DT de 5 de mayo de 2022,  debido a que no se comtempló en el mes de abril el monto de B/.42.30 , se presenta nuevamente con la diferencia en el mesde mayo por B/. 134,968.20.</t>
        </r>
      </text>
    </comment>
    <comment ref="AI35" authorId="0" shapeId="0" xr:uid="{174D9897-EFFA-4BCC-99C6-D449982ADC2E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marzo 2022   (30-05-2022)</t>
        </r>
      </text>
    </comment>
    <comment ref="AJ35" authorId="0" shapeId="0" xr:uid="{D077F4D9-BAC6-426A-A139-26A3A11555F3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abril  2022 (27-06-2022)</t>
        </r>
      </text>
    </comment>
    <comment ref="AK35" authorId="0" shapeId="0" xr:uid="{18ECCC76-7A3A-47C7-AD9C-47783D00BF39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Pagada 19 de octubre de 2022</t>
        </r>
      </text>
    </comment>
    <comment ref="AL35" authorId="0" shapeId="0" xr:uid="{618D7D50-8E0D-4856-B123-7B1FF959475C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Pagada 19 de octubre de 2022</t>
        </r>
      </text>
    </comment>
    <comment ref="AM35" authorId="0" shapeId="0" xr:uid="{ADE35307-5BE9-48A1-ABA9-B6E27E3D676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6 de septiembre de 2022</t>
        </r>
      </text>
    </comment>
    <comment ref="AN35" authorId="0" shapeId="0" xr:uid="{7ECC9881-373F-4C63-8CA0-03A64576A55D}">
      <text>
        <r>
          <rPr>
            <b/>
            <sz val="16"/>
            <color indexed="81"/>
            <rFont val="Tahoma"/>
            <family val="2"/>
          </rPr>
          <t>Guevara Quintero, Zuleika:
PAGADA EL 10 DE OCTUBRE DE 2022</t>
        </r>
      </text>
    </comment>
    <comment ref="AO35" authorId="0" shapeId="0" xr:uid="{64D572DF-171A-4628-8F58-259D64DBF78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19 de diciembre de 2022</t>
        </r>
      </text>
    </comment>
    <comment ref="AP35" authorId="0" shapeId="0" xr:uid="{E51528DA-DE03-432A-A6CC-143D1265B33D}">
      <text>
        <r>
          <rPr>
            <b/>
            <sz val="16"/>
            <color indexed="81"/>
            <rFont val="Tahoma"/>
            <family val="2"/>
          </rPr>
          <t>Guevara Quintero, Zuleika:
PAGADA EL 12 DE ENERO DE 2023</t>
        </r>
      </text>
    </comment>
    <comment ref="AQ35" authorId="0" shapeId="0" xr:uid="{BE8F9799-FB7D-4124-8BE8-785D0126B4C8}">
      <text>
        <r>
          <rPr>
            <b/>
            <sz val="16"/>
            <color indexed="81"/>
            <rFont val="Tahoma"/>
            <family val="2"/>
          </rPr>
          <t>Guevara Quintero, Zuleika:
PAGADA EL 16 DE ENERO DE 2023</t>
        </r>
      </text>
    </comment>
    <comment ref="AR35" authorId="0" shapeId="0" xr:uid="{D4735459-B184-4BEC-BAF8-6729C8E25655}">
      <text>
        <r>
          <rPr>
            <b/>
            <sz val="16"/>
            <color indexed="81"/>
            <rFont val="Tahoma"/>
            <family val="2"/>
          </rPr>
          <t>Guevara Quintero, Zuleika:
PAGADA EL 19 DE ENERO DE 2023</t>
        </r>
      </text>
    </comment>
    <comment ref="AT35" authorId="0" shapeId="0" xr:uid="{64A57967-FEED-477A-81D7-25A4D3AC7FA2}">
      <text>
        <r>
          <rPr>
            <b/>
            <sz val="16"/>
            <color indexed="81"/>
            <rFont val="Tahoma"/>
            <family val="2"/>
          </rPr>
          <t>Guevara Quintero, Zuleika:
PAGADA EL 17 DE MARZO DE 2023</t>
        </r>
      </text>
    </comment>
    <comment ref="AU35" authorId="0" shapeId="0" xr:uid="{E47B392B-68A0-49A7-BAEC-3F238B0D0A05}">
      <text>
        <r>
          <rPr>
            <b/>
            <sz val="16"/>
            <color indexed="81"/>
            <rFont val="Tahoma"/>
            <family val="2"/>
          </rPr>
          <t>Guevara Quintero, Zuleika:
PAGADA EL 22 DE MAYO DE 2023</t>
        </r>
      </text>
    </comment>
    <comment ref="AV35" authorId="0" shapeId="0" xr:uid="{E13C72DA-9646-4DB4-8F75-4BB54A9D98F6}">
      <text>
        <r>
          <rPr>
            <b/>
            <sz val="16"/>
            <color indexed="81"/>
            <rFont val="Tahoma"/>
            <family val="2"/>
          </rPr>
          <t>Guevara Quintero, Zuleika:
PAGADA EL 26 DE MAYO DE 2023</t>
        </r>
      </text>
    </comment>
    <comment ref="AW35" authorId="0" shapeId="0" xr:uid="{0D8A8AAA-5144-4B44-8C57-9DA72D22CC09}">
      <text>
        <r>
          <rPr>
            <b/>
            <sz val="16"/>
            <color indexed="81"/>
            <rFont val="Tahoma"/>
            <family val="2"/>
          </rPr>
          <t>Guevara Quintero, Zuleika:
PAGADA EL 21 DE JUNIO DE 2023</t>
        </r>
      </text>
    </comment>
    <comment ref="AX35" authorId="0" shapeId="0" xr:uid="{C0886399-61FE-4510-8400-77AA13E64752}">
      <text>
        <r>
          <rPr>
            <b/>
            <sz val="16"/>
            <color indexed="81"/>
            <rFont val="Tahoma"/>
            <family val="2"/>
          </rPr>
          <t>Guevara Quintero, Zuleika:
PAGADA EL 11 DE JULIO DE 2023</t>
        </r>
      </text>
    </comment>
    <comment ref="AY35" authorId="0" shapeId="0" xr:uid="{F797EF34-E4F0-4142-BE7F-354E37D14465}">
      <text>
        <r>
          <rPr>
            <b/>
            <sz val="16"/>
            <color indexed="81"/>
            <rFont val="Tahoma"/>
            <family val="2"/>
          </rPr>
          <t>Guevara Quintero, Zuleika:
PAGADA EL 06 DE SEPTIEMBRE DE 2023</t>
        </r>
      </text>
    </comment>
    <comment ref="AZ35" authorId="0" shapeId="0" xr:uid="{6BFCA022-2067-4B0A-83BF-9789B6C6384B}">
      <text>
        <r>
          <rPr>
            <b/>
            <sz val="16"/>
            <color indexed="81"/>
            <rFont val="Tahoma"/>
            <family val="2"/>
          </rPr>
          <t>Guevara Quintero, Zuleika:
PAGADA EL 12 DE SEPTIEMBRE DE 2023</t>
        </r>
      </text>
    </comment>
    <comment ref="BA35" authorId="0" shapeId="0" xr:uid="{8008C041-2FE8-49E8-A971-174482C114FC}">
      <text>
        <r>
          <rPr>
            <b/>
            <sz val="16"/>
            <color indexed="81"/>
            <rFont val="Tahoma"/>
            <family val="2"/>
          </rPr>
          <t>Guevara Quintero, Zuleika:
PAGADA EL 11 DE OCTUBRE DE 2023</t>
        </r>
      </text>
    </comment>
    <comment ref="BB35" authorId="0" shapeId="0" xr:uid="{D9032D25-880A-41E5-A96A-41E349D8A1B2}">
      <text>
        <r>
          <rPr>
            <b/>
            <sz val="16"/>
            <color indexed="81"/>
            <rFont val="Tahoma"/>
            <family val="2"/>
          </rPr>
          <t>Guevara Quintero, Zuleika:
PAGADA EL 15 DE DICIEMBRE DE 2023</t>
        </r>
      </text>
    </comment>
    <comment ref="BC35" authorId="0" shapeId="0" xr:uid="{D941811C-8D97-4AD0-A47A-BB19FF4B105D}">
      <text>
        <r>
          <rPr>
            <b/>
            <sz val="16"/>
            <color indexed="81"/>
            <rFont val="Tahoma"/>
            <family val="2"/>
          </rPr>
          <t>Guevara Quintero, Zuleika:
PAGADA EL 23 DE ENERO DE 2024</t>
        </r>
      </text>
    </comment>
    <comment ref="BD35" authorId="0" shapeId="0" xr:uid="{D8330BD9-F3F4-4D93-BA92-48A3EC5C39F6}">
      <text>
        <r>
          <rPr>
            <b/>
            <sz val="16"/>
            <color indexed="81"/>
            <rFont val="Tahoma"/>
            <family val="2"/>
          </rPr>
          <t>Guevara Quintero, Zuleika:
PAGADA EL 25 DE ENERO DE 2024</t>
        </r>
      </text>
    </comment>
    <comment ref="BE35" authorId="0" shapeId="0" xr:uid="{F77D165D-8BD9-4364-8836-D017061F6ACF}">
      <text>
        <r>
          <rPr>
            <b/>
            <sz val="16"/>
            <color indexed="81"/>
            <rFont val="Tahoma"/>
            <family val="2"/>
          </rPr>
          <t>Guevara Quintero, Zuleika:
PAGADA EL 25 DE ENERO DE 2024</t>
        </r>
      </text>
    </comment>
    <comment ref="BG35" authorId="0" shapeId="0" xr:uid="{BCD81D23-68E8-4848-BE30-D7B300C7ACEF}">
      <text>
        <r>
          <rPr>
            <b/>
            <sz val="16"/>
            <color indexed="81"/>
            <rFont val="Tahoma"/>
            <family val="2"/>
          </rPr>
          <t>Guevara Quintero, Zuleika:
PAGADA EL 12 DE ABRIL DE 2024</t>
        </r>
      </text>
    </comment>
    <comment ref="BH35" authorId="0" shapeId="0" xr:uid="{96CD1A12-122C-48C5-AD49-9C424AB3D9F8}">
      <text>
        <r>
          <rPr>
            <b/>
            <sz val="16"/>
            <color indexed="81"/>
            <rFont val="Tahoma"/>
            <family val="2"/>
          </rPr>
          <t>Guevara Quintero, Zuleika:
PAGADA EL 08 DE MAYO DE 2024</t>
        </r>
      </text>
    </comment>
    <comment ref="BJ35" authorId="0" shapeId="0" xr:uid="{FD4D7358-34E9-4E30-8B81-F1D746574F29}">
      <text>
        <r>
          <rPr>
            <b/>
            <sz val="16"/>
            <color indexed="81"/>
            <rFont val="Tahoma"/>
            <family val="2"/>
          </rPr>
          <t>Guevara Quintero, Zuleika:
PAGADA EL 17 DE JUNIO DE 2024</t>
        </r>
      </text>
    </comment>
    <comment ref="BK35" authorId="0" shapeId="0" xr:uid="{2C4FCE35-4BA2-4E5A-B4C2-57760A578197}">
      <text>
        <r>
          <rPr>
            <b/>
            <sz val="16"/>
            <color indexed="81"/>
            <rFont val="Tahoma"/>
            <family val="2"/>
          </rPr>
          <t>Guevara Quintero, Zuleika:
PAGADA EL 20  DE AGOSTO DE 2024</t>
        </r>
      </text>
    </comment>
    <comment ref="BL35" authorId="0" shapeId="0" xr:uid="{27459AC1-2EC7-4C85-9101-D34E8FC204B7}">
      <text>
        <r>
          <rPr>
            <b/>
            <sz val="16"/>
            <color indexed="81"/>
            <rFont val="Tahoma"/>
            <family val="2"/>
          </rPr>
          <t>Guevara Quintero, Zuleika:
PAGADA EL 21 DE AGOSTO DE 2024</t>
        </r>
      </text>
    </comment>
    <comment ref="G36" authorId="0" shapeId="0" xr:uid="{971C752C-1DB6-493D-9509-2CF2A4B1C825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16 de abril de 2020</t>
        </r>
      </text>
    </comment>
    <comment ref="H36" authorId="0" shapeId="0" xr:uid="{F805FE15-EB7A-472B-8980-34E05B1F3FEB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21 de mayo de 2020</t>
        </r>
      </text>
    </comment>
    <comment ref="K36" authorId="0" shapeId="0" xr:uid="{0A32D065-A832-4FF6-96A0-60B401F09E09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25 de  noviembre  de 2020</t>
        </r>
      </text>
    </comment>
    <comment ref="L36" authorId="0" shapeId="0" xr:uid="{09486B2A-B291-4211-80D6-6A79C54007ED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2 de  octubre  de 2020</t>
        </r>
      </text>
    </comment>
    <comment ref="M36" authorId="0" shapeId="0" xr:uid="{472A085F-7C57-40DE-A93E-A055CD795926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15 de  octubre  de 2020</t>
        </r>
      </text>
    </comment>
    <comment ref="N36" authorId="0" shapeId="0" xr:uid="{E63E30D6-9A06-4272-8486-9FE6C7279A5B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6 de  noviembre  de 2020</t>
        </r>
      </text>
    </comment>
    <comment ref="O36" authorId="0" shapeId="0" xr:uid="{CABF5C6C-7BA8-4620-A75A-A3A88AC76EAB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26 de  noviembre  de 2020</t>
        </r>
      </text>
    </comment>
    <comment ref="P36" authorId="0" shapeId="0" xr:uid="{6DC99416-CC4B-470C-8470-8F4076BC046A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3 de  febrero  de 2021</t>
        </r>
      </text>
    </comment>
    <comment ref="Q36" authorId="0" shapeId="0" xr:uid="{97215141-E2A2-455B-9EBA-F6A2FDC4108D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3 de  febrero  de 2021</t>
        </r>
      </text>
    </comment>
    <comment ref="R36" authorId="0" shapeId="0" xr:uid="{B699F236-E727-46A9-B273-60C852D9DBDD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3 de  febrero  de 2021</t>
        </r>
      </text>
    </comment>
    <comment ref="W36" authorId="0" shapeId="0" xr:uid="{6D713E6B-3D6D-4D7F-8E28-2D6877C75F9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6 de julio de 2021</t>
        </r>
      </text>
    </comment>
    <comment ref="X36" authorId="0" shapeId="0" xr:uid="{375CEC7C-815C-4647-BBC4-FAF88DEB19C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9 de julio de 2021</t>
        </r>
      </text>
    </comment>
    <comment ref="Y36" authorId="0" shapeId="0" xr:uid="{2E43B5AB-C05D-465F-8232-4D40FC4D4D2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26 de agosto de 2021</t>
        </r>
      </text>
    </comment>
    <comment ref="Z36" authorId="0" shapeId="0" xr:uid="{EB0DF2C2-16E4-42C8-8255-D60C5A88EA4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17 de septiembre de 2021</t>
        </r>
      </text>
    </comment>
    <comment ref="AA36" authorId="0" shapeId="0" xr:uid="{4BFDEC5D-ED7F-48A6-A097-9C0F569533F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29 de octubre de 2021</t>
        </r>
      </text>
    </comment>
    <comment ref="AB36" authorId="0" shapeId="0" xr:uid="{5DAC1CBD-2EED-4FC0-9F34-94DE11757B7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noviembre de 2021</t>
        </r>
      </text>
    </comment>
    <comment ref="AC36" authorId="0" shapeId="0" xr:uid="{416E99E2-D1E2-474C-8AEC-194DDC0671F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13 de diciembre de 2021</t>
        </r>
      </text>
    </comment>
    <comment ref="AD36" authorId="0" shapeId="0" xr:uid="{FD07AEE9-D705-49EB-AF22-453D0D52EF1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24 de enero de 2022</t>
        </r>
      </text>
    </comment>
    <comment ref="AG36" authorId="0" shapeId="0" xr:uid="{8A54D28D-0C7A-4503-A0FB-10433D040F5F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enero  2022  (8-04-2022)</t>
        </r>
      </text>
    </comment>
    <comment ref="AH36" authorId="0" shapeId="0" xr:uid="{81944BC7-AAD5-4328-8B9C-4384F92DF5A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6 de mayo de 2022</t>
        </r>
      </text>
    </comment>
    <comment ref="AI36" authorId="0" shapeId="0" xr:uid="{A2B21091-1D02-420F-B228-56117946C81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 de junio de 2022</t>
        </r>
      </text>
    </comment>
    <comment ref="AJ36" authorId="0" shapeId="0" xr:uid="{15F95222-24FF-4609-BD31-712FABB5B46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 de julio de 2022</t>
        </r>
      </text>
    </comment>
    <comment ref="AK36" authorId="0" shapeId="0" xr:uid="{B5104CEE-305D-49FE-9FFB-0DF3390D7655}">
      <text>
        <r>
          <rPr>
            <b/>
            <sz val="9"/>
            <color indexed="81"/>
            <rFont val="Tahoma"/>
            <family val="2"/>
          </rPr>
          <t>Guevara Quintero, Zuleika:</t>
        </r>
        <r>
          <rPr>
            <sz val="9"/>
            <color indexed="81"/>
            <rFont val="Tahoma"/>
            <family val="2"/>
          </rPr>
          <t xml:space="preserve">
PAGADA EL 19 DE OCTUBRE DE 2022</t>
        </r>
      </text>
    </comment>
    <comment ref="AL36" authorId="0" shapeId="0" xr:uid="{4FEFB623-2BED-4F15-B835-FE561E33584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septiembre de 2022</t>
        </r>
      </text>
    </comment>
    <comment ref="AM36" authorId="0" shapeId="0" xr:uid="{32023D67-8B30-4632-B127-ABFCB2F71A7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septiembre de 2022</t>
        </r>
      </text>
    </comment>
    <comment ref="AN36" authorId="0" shapeId="0" xr:uid="{8BA946DF-E7E9-4A93-BE47-D6433766B895}">
      <text>
        <r>
          <rPr>
            <b/>
            <sz val="16"/>
            <color indexed="81"/>
            <rFont val="Tahoma"/>
            <family val="2"/>
          </rPr>
          <t>Guevara Quintero, Zuleika:
PAGADA EL 10 DE OCTUBRE DE 2022</t>
        </r>
      </text>
    </comment>
    <comment ref="AO36" authorId="0" shapeId="0" xr:uid="{FD6DFED0-0833-4CAB-800E-A23D6BC3A966}">
      <text>
        <r>
          <rPr>
            <b/>
            <sz val="22"/>
            <color indexed="81"/>
            <rFont val="Tahoma"/>
            <family val="2"/>
          </rPr>
          <t>Quintero, Zuleika
pagada el 19 de septiembre de 2022</t>
        </r>
      </text>
    </comment>
    <comment ref="AP36" authorId="0" shapeId="0" xr:uid="{8C956799-66A5-4F06-9F8D-1E1E7F9E7FF2}">
      <text>
        <r>
          <rPr>
            <b/>
            <sz val="16"/>
            <color indexed="81"/>
            <rFont val="Tahoma"/>
            <family val="2"/>
          </rPr>
          <t>Guevara Quintero, Zuleika:
PAGADA EL 16 DE ENERO DE 2023</t>
        </r>
      </text>
    </comment>
    <comment ref="AQ36" authorId="0" shapeId="0" xr:uid="{72341CDD-80B4-487A-96F2-DA1BE76D43A1}">
      <text>
        <r>
          <rPr>
            <b/>
            <sz val="16"/>
            <color indexed="81"/>
            <rFont val="Tahoma"/>
            <family val="2"/>
          </rPr>
          <t>Guevara Quintero, Zuleika:
PAGADA EL 16 DE ENERO DE 2023</t>
        </r>
      </text>
    </comment>
    <comment ref="AR36" authorId="0" shapeId="0" xr:uid="{FC596D1C-055C-4254-8367-DD605508E8A6}">
      <text>
        <r>
          <rPr>
            <b/>
            <sz val="16"/>
            <color indexed="81"/>
            <rFont val="Tahoma"/>
            <family val="2"/>
          </rPr>
          <t>Guevara Quintero, Zuleika:
PAGADA EL 16 DE ENERO DE 2023</t>
        </r>
      </text>
    </comment>
    <comment ref="AT36" authorId="0" shapeId="0" xr:uid="{E266CFCC-10D6-4020-93CC-E9F91A825583}">
      <text>
        <r>
          <rPr>
            <b/>
            <sz val="16"/>
            <color indexed="81"/>
            <rFont val="Tahoma"/>
            <family val="2"/>
          </rPr>
          <t>Guevara Quintero, Zuleika:
PAGADA EL 13 DE MARZO DE 2023</t>
        </r>
      </text>
    </comment>
    <comment ref="AU36" authorId="0" shapeId="0" xr:uid="{52438440-5FBD-4F19-8AB8-D5FB5B4F1B20}">
      <text>
        <r>
          <rPr>
            <b/>
            <sz val="16"/>
            <color indexed="81"/>
            <rFont val="Tahoma"/>
            <family val="2"/>
          </rPr>
          <t>Guevara Quintero, Zuleika:
PAGADA EL 22 DE MAYO DE 2023</t>
        </r>
      </text>
    </comment>
    <comment ref="AV36" authorId="0" shapeId="0" xr:uid="{3D3A1AF6-F2B6-413E-AFBF-268183E885FB}">
      <text>
        <r>
          <rPr>
            <b/>
            <sz val="16"/>
            <color indexed="81"/>
            <rFont val="Tahoma"/>
            <family val="2"/>
          </rPr>
          <t>Guevara Quintero, Zuleika:
PAGADA EL 30 DE MAYO DE 2023</t>
        </r>
      </text>
    </comment>
    <comment ref="AW36" authorId="0" shapeId="0" xr:uid="{38CC902B-9DC2-4D32-A212-929D95CE9A5C}">
      <text>
        <r>
          <rPr>
            <b/>
            <sz val="16"/>
            <color indexed="81"/>
            <rFont val="Tahoma"/>
            <family val="2"/>
          </rPr>
          <t>Guevara Quintero, Zuleika:
PAGADA EL 13 DE JUNIO DE 2023</t>
        </r>
      </text>
    </comment>
    <comment ref="AX36" authorId="0" shapeId="0" xr:uid="{61ACC873-26C4-4101-A0C6-9B95E18EB88D}">
      <text>
        <r>
          <rPr>
            <b/>
            <sz val="16"/>
            <color indexed="81"/>
            <rFont val="Tahoma"/>
            <family val="2"/>
          </rPr>
          <t>Guevara Quintero, Zuleika:
PAGADA EL 11 DE JULIO DE 2023</t>
        </r>
      </text>
    </comment>
    <comment ref="AY36" authorId="0" shapeId="0" xr:uid="{E30B1428-D199-4B89-BFCB-F65CFB26B376}">
      <text>
        <r>
          <rPr>
            <b/>
            <sz val="16"/>
            <color indexed="81"/>
            <rFont val="Tahoma"/>
            <family val="2"/>
          </rPr>
          <t>Guevara Quintero, Zuleika:
PAGADA EL 11 DE AGOSTO DE 2023</t>
        </r>
      </text>
    </comment>
    <comment ref="AZ36" authorId="0" shapeId="0" xr:uid="{FAA39889-EC43-4E87-A554-048743B5EF4B}">
      <text>
        <r>
          <rPr>
            <b/>
            <sz val="16"/>
            <color indexed="81"/>
            <rFont val="Tahoma"/>
            <family val="2"/>
          </rPr>
          <t>Guevara Quintero, Zuleika:
PAGADA EL 08 DE SEPTIEMBRE DE 2023</t>
        </r>
      </text>
    </comment>
    <comment ref="BA36" authorId="0" shapeId="0" xr:uid="{67569C45-DB4B-45AF-B9C0-9FF7B71468EE}">
      <text>
        <r>
          <rPr>
            <b/>
            <sz val="16"/>
            <color indexed="81"/>
            <rFont val="Tahoma"/>
            <family val="2"/>
          </rPr>
          <t>Guevara Quintero, Zuleika:
PAGADA EL 04 DE OCTUBRE DE 2023</t>
        </r>
      </text>
    </comment>
    <comment ref="BB36" authorId="0" shapeId="0" xr:uid="{687801F9-B298-4F7E-A472-35C644722CAF}">
      <text>
        <r>
          <rPr>
            <b/>
            <sz val="16"/>
            <color indexed="81"/>
            <rFont val="Tahoma"/>
            <family val="2"/>
          </rPr>
          <t>Guevara Quintero, Zuleika:
PAGADA EL 12 DE DICIEMBRE DE 2023</t>
        </r>
      </text>
    </comment>
    <comment ref="BC36" authorId="0" shapeId="0" xr:uid="{6ACB6900-9B63-486E-918F-1DE36911F5EA}">
      <text>
        <r>
          <rPr>
            <b/>
            <sz val="16"/>
            <color indexed="81"/>
            <rFont val="Tahoma"/>
            <family val="2"/>
          </rPr>
          <t>Guevara Quintero, Zuleika:
PAGADA EL 19 DE DICIEMBRE DE 2023</t>
        </r>
      </text>
    </comment>
    <comment ref="BD36" authorId="0" shapeId="0" xr:uid="{7CA7CB48-A0A7-4ADD-BA44-333F012AAED5}">
      <text>
        <r>
          <rPr>
            <b/>
            <sz val="16"/>
            <color indexed="81"/>
            <rFont val="Tahoma"/>
            <family val="2"/>
          </rPr>
          <t>Guevara Quintero, Zuleika:
PAGADA EL 25 DE ENERO DE 2024</t>
        </r>
      </text>
    </comment>
    <comment ref="BE36" authorId="0" shapeId="0" xr:uid="{CCAD5E8F-9985-4605-9C44-EE4AD44554F3}">
      <text>
        <r>
          <rPr>
            <b/>
            <sz val="16"/>
            <color indexed="81"/>
            <rFont val="Tahoma"/>
            <family val="2"/>
          </rPr>
          <t>Guevara Quintero, Zuleika:
PAGADA EL 25 DE ENERO DE 2024</t>
        </r>
      </text>
    </comment>
    <comment ref="BG36" authorId="0" shapeId="0" xr:uid="{DE22A266-BA22-4E3C-9618-C48FDC3CE416}">
      <text>
        <r>
          <rPr>
            <b/>
            <sz val="16"/>
            <color indexed="81"/>
            <rFont val="Tahoma"/>
            <family val="2"/>
          </rPr>
          <t>Guevara Quintero, Zuleika:
PAGADA EL 12 DE ABRIL DE 2024</t>
        </r>
      </text>
    </comment>
    <comment ref="BH36" authorId="0" shapeId="0" xr:uid="{27052E7C-9B10-41C0-B7ED-EAC68EAA8153}">
      <text>
        <r>
          <rPr>
            <b/>
            <sz val="16"/>
            <color indexed="81"/>
            <rFont val="Tahoma"/>
            <family val="2"/>
          </rPr>
          <t>Guevara Quintero, Zuleika:
PAGADA EL 10 DE MAYO DE 2024</t>
        </r>
      </text>
    </comment>
    <comment ref="BI36" authorId="0" shapeId="0" xr:uid="{12335480-41AC-400E-8AE7-D4EE13FD56BB}">
      <text>
        <r>
          <rPr>
            <b/>
            <sz val="16"/>
            <color indexed="81"/>
            <rFont val="Tahoma"/>
            <family val="2"/>
          </rPr>
          <t>Guevara Quintero, Zuleika:
PAGADA EL 04 DE JUNIO DE 2024</t>
        </r>
      </text>
    </comment>
    <comment ref="BJ36" authorId="0" shapeId="0" xr:uid="{12580290-DC9F-4855-8548-7F603CFFCD3D}">
      <text>
        <r>
          <rPr>
            <b/>
            <sz val="16"/>
            <color indexed="81"/>
            <rFont val="Tahoma"/>
            <family val="2"/>
          </rPr>
          <t>Guevara Quintero, Zuleika:
PAGADA EL 21 DE JUNIO DE 2024</t>
        </r>
      </text>
    </comment>
    <comment ref="BK36" authorId="0" shapeId="0" xr:uid="{E2513BAA-9F57-4C54-9D12-36B2C5E55610}">
      <text>
        <r>
          <rPr>
            <b/>
            <sz val="16"/>
            <color indexed="81"/>
            <rFont val="Tahoma"/>
            <family val="2"/>
          </rPr>
          <t>Guevara Quintero, Zuleika:
PAGADA EL 23 DE AGOSTO DE 2024</t>
        </r>
      </text>
    </comment>
    <comment ref="BL36" authorId="0" shapeId="0" xr:uid="{08522D87-C76B-47C4-83F7-2200429E5E1E}">
      <text>
        <r>
          <rPr>
            <b/>
            <sz val="16"/>
            <color indexed="81"/>
            <rFont val="Tahoma"/>
            <family val="2"/>
          </rPr>
          <t>Guevara Quintero, Zuleika:
PAGADA EL 23 DE AGOSTO DE 2024</t>
        </r>
      </text>
    </comment>
    <comment ref="G37" authorId="0" shapeId="0" xr:uid="{B655A0E1-84C6-4ECD-BBA7-66B683323FD2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26 de mayo de 2020</t>
        </r>
      </text>
    </comment>
    <comment ref="H37" authorId="0" shapeId="0" xr:uid="{FD5764F8-2684-436C-BE1E-A05AED333135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 de junio de 2020</t>
        </r>
      </text>
    </comment>
    <comment ref="I37" authorId="0" shapeId="0" xr:uid="{9D414303-2319-4FA5-BE2B-EB05B5E689DB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 de junio de 2020</t>
        </r>
      </text>
    </comment>
    <comment ref="J37" authorId="0" shapeId="0" xr:uid="{512144C8-75FD-4231-BB96-812CB293163F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14 de julio de 2020</t>
        </r>
      </text>
    </comment>
    <comment ref="K37" authorId="0" shapeId="0" xr:uid="{6E2185E3-C4B6-4E5F-A102-0458E654E66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14 de julio de 2020</t>
        </r>
      </text>
    </comment>
    <comment ref="L37" authorId="0" shapeId="0" xr:uid="{B6C18A52-186B-46D7-874A-6A6163DDDDAA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25 de agosto de 2020</t>
        </r>
      </text>
    </comment>
    <comment ref="M37" authorId="0" shapeId="0" xr:uid="{FA2E364A-90C5-46F1-B786-01AAEC0BB644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28 de  septiembre  de 2020</t>
        </r>
      </text>
    </comment>
    <comment ref="N37" authorId="0" shapeId="0" xr:uid="{418A21FE-C7D6-4BB5-851C-2E58A158959D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2 de  octubre  de 2020</t>
        </r>
      </text>
    </comment>
    <comment ref="O37" authorId="0" shapeId="0" xr:uid="{455862B4-1972-4D48-AB26-FD0DAF51600C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20 de  noviembre de 2020</t>
        </r>
      </text>
    </comment>
    <comment ref="P37" authorId="0" shapeId="0" xr:uid="{C8DB4E74-6821-4934-BC93-571ABE499D30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4 de Diciembre de 2020</t>
        </r>
      </text>
    </comment>
    <comment ref="Q37" authorId="0" shapeId="0" xr:uid="{CDF9FD63-92C9-4DC2-942F-C589D6754A06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15 de Diciembre de 2020</t>
        </r>
      </text>
    </comment>
    <comment ref="R37" authorId="0" shapeId="0" xr:uid="{C7ECFABC-A0D2-4F73-9CF4-A8C9C57AE9DF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26 de enero de 2021</t>
        </r>
      </text>
    </comment>
    <comment ref="T37" authorId="0" shapeId="0" xr:uid="{5B8BEEC9-26A6-48B4-BE46-B83CFBC43A1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6 de julio de 2021
</t>
        </r>
      </text>
    </comment>
    <comment ref="V37" authorId="0" shapeId="0" xr:uid="{6621BB4F-D42D-427E-ACFD-A4C5384325F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6 de julio de 2021
</t>
        </r>
      </text>
    </comment>
    <comment ref="W37" authorId="0" shapeId="0" xr:uid="{9B376E64-B017-40EA-96AB-0DB1AFF97F8D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pagada el 16 de junio de 2021</t>
        </r>
      </text>
    </comment>
    <comment ref="X37" authorId="0" shapeId="0" xr:uid="{C9CD0DDE-1829-495D-A613-FA743654A44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15 de julio de 2021</t>
        </r>
      </text>
    </comment>
    <comment ref="Y37" authorId="0" shapeId="0" xr:uid="{095B82C2-3963-44A0-BDC7-0F2CEC6C199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enero de 2022</t>
        </r>
      </text>
    </comment>
    <comment ref="Z37" authorId="0" shapeId="0" xr:uid="{431E7543-23EE-4B3A-A151-6B6035A8541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17 de septiembre de 2021</t>
        </r>
      </text>
    </comment>
    <comment ref="AA37" authorId="0" shapeId="0" xr:uid="{A51444A2-2BB0-4369-AA7B-258F2CCC963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octubre de 2021</t>
        </r>
      </text>
    </comment>
    <comment ref="AB37" authorId="0" shapeId="0" xr:uid="{2C390362-1162-41DF-BBAB-2CA159C40B1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enero de 2022</t>
        </r>
      </text>
    </comment>
    <comment ref="AC37" authorId="0" shapeId="0" xr:uid="{DE8E0896-5587-494E-9ADD-84103DAFA53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17 de diciembre de 2021</t>
        </r>
      </text>
    </comment>
    <comment ref="AG37" authorId="0" shapeId="0" xr:uid="{90059221-0E84-4602-BD01-9D695F16574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abril de 2022</t>
        </r>
      </text>
    </comment>
    <comment ref="AH37" authorId="0" shapeId="0" xr:uid="{4FE7064E-48F6-44E1-85E4-65308F25410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26 de abril de 2022</t>
        </r>
      </text>
    </comment>
    <comment ref="AI37" authorId="0" shapeId="0" xr:uid="{51A36AAF-B6A3-4E66-BA3F-EBF1B2D8787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13 de mayo de 2022</t>
        </r>
      </text>
    </comment>
    <comment ref="AJ37" authorId="0" shapeId="0" xr:uid="{2E898009-D676-44A4-9A29-E5260366E88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7 de julio de 2022</t>
        </r>
      </text>
    </comment>
    <comment ref="AK37" authorId="0" shapeId="0" xr:uid="{DCFE160C-4B6C-407F-A049-235EC9C3B2FF}">
      <text>
        <r>
          <rPr>
            <b/>
            <sz val="9"/>
            <color indexed="81"/>
            <rFont val="Tahoma"/>
            <family val="2"/>
          </rPr>
          <t>Guevara Quintero, Zuleika:</t>
        </r>
        <r>
          <rPr>
            <sz val="9"/>
            <color indexed="81"/>
            <rFont val="Tahoma"/>
            <family val="2"/>
          </rPr>
          <t xml:space="preserve">
PAGADA EL 19 DE OCTUBRE DE 2022</t>
        </r>
      </text>
    </comment>
    <comment ref="AL37" authorId="0" shapeId="0" xr:uid="{49968BC9-8C8F-4C1A-84A5-4D5719F170C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de septiembre de 2022</t>
        </r>
      </text>
    </comment>
    <comment ref="AM37" authorId="0" shapeId="0" xr:uid="{F7C7CB2D-FB8D-4310-AC37-87D1F819CE7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septiembre de 2022</t>
        </r>
      </text>
    </comment>
    <comment ref="AN37" authorId="0" shapeId="0" xr:uid="{C3F725B3-DEB1-4278-BC12-8C32600C72FE}">
      <text>
        <r>
          <rPr>
            <b/>
            <sz val="16"/>
            <color indexed="81"/>
            <rFont val="Tahoma"/>
            <family val="2"/>
          </rPr>
          <t>Guevara Quintero, Zuleika:
PAGADA EL 10 DE OCTUBRE DE 2022</t>
        </r>
      </text>
    </comment>
    <comment ref="AO37" authorId="0" shapeId="0" xr:uid="{72E5361D-78FA-45BE-8211-AEA5144603B1}">
      <text>
        <r>
          <rPr>
            <b/>
            <sz val="16"/>
            <color indexed="81"/>
            <rFont val="Tahoma"/>
            <family val="2"/>
          </rPr>
          <t>Guevara Quintero, Zuleika:
PAGADA EL 8 DE NOVIEMBRE DE 2022</t>
        </r>
      </text>
    </comment>
    <comment ref="AP37" authorId="0" shapeId="0" xr:uid="{1FED491C-872F-4AC8-9873-12315D17F495}">
      <text>
        <r>
          <rPr>
            <b/>
            <sz val="16"/>
            <color indexed="81"/>
            <rFont val="Tahoma"/>
            <family val="2"/>
          </rPr>
          <t>Guevara Quintero, Zuleika:
PAGADA EL 25 DE ENERO DE 2023</t>
        </r>
      </text>
    </comment>
    <comment ref="AQ37" authorId="0" shapeId="0" xr:uid="{7B17D637-5CC2-4824-9647-4251EA6FBDB4}">
      <text>
        <r>
          <rPr>
            <b/>
            <sz val="16"/>
            <color indexed="81"/>
            <rFont val="Tahoma"/>
            <family val="2"/>
          </rPr>
          <t>Guevara Quintero, Zuleika:
PAGADA EL 16 DE ENERO DE 2023</t>
        </r>
      </text>
    </comment>
    <comment ref="AR37" authorId="0" shapeId="0" xr:uid="{7A0DFC6B-908E-4A49-B2E1-12C1F32D7FDB}">
      <text>
        <r>
          <rPr>
            <b/>
            <sz val="16"/>
            <color indexed="81"/>
            <rFont val="Tahoma"/>
            <family val="2"/>
          </rPr>
          <t>Guevara Quintero, Zuleika:
PAGADA EL 19 DE ENERO DE 2023</t>
        </r>
      </text>
    </comment>
    <comment ref="AT37" authorId="0" shapeId="0" xr:uid="{F98A70CB-48C4-48E6-B354-6A655B3C3DAA}">
      <text>
        <r>
          <rPr>
            <b/>
            <sz val="16"/>
            <color indexed="81"/>
            <rFont val="Tahoma"/>
            <family val="2"/>
          </rPr>
          <t>Guevara Quintero, Zuleika:
PAGADA EL 11 DE AGOSTO DE 2023</t>
        </r>
      </text>
    </comment>
    <comment ref="AU37" authorId="0" shapeId="0" xr:uid="{EE1355BE-120A-4039-A6AA-F1A94B0BF642}">
      <text>
        <r>
          <rPr>
            <b/>
            <sz val="16"/>
            <color indexed="81"/>
            <rFont val="Tahoma"/>
            <family val="2"/>
          </rPr>
          <t>Guevara Quintero, Zuleika:
PAGADA EL 23 DE AGOSTO DE 2023</t>
        </r>
      </text>
    </comment>
    <comment ref="AV37" authorId="0" shapeId="0" xr:uid="{C7A4F145-4406-4F4C-8FC8-D5D80ED1FD1B}">
      <text>
        <r>
          <rPr>
            <b/>
            <sz val="16"/>
            <color indexed="81"/>
            <rFont val="Tahoma"/>
            <family val="2"/>
          </rPr>
          <t>Guevara Quintero, Zuleika:
PAGADA EL 23 DE AGOSTO DE 2023</t>
        </r>
      </text>
    </comment>
    <comment ref="AW37" authorId="0" shapeId="0" xr:uid="{19BCEF5D-C025-4CB7-8ED8-5C71C88F3E2E}">
      <text>
        <r>
          <rPr>
            <b/>
            <sz val="16"/>
            <color indexed="81"/>
            <rFont val="Tahoma"/>
            <family val="2"/>
          </rPr>
          <t>Guevara Quintero, Zuleika:
PAGADA EL 28 DE JULIO DE 2023</t>
        </r>
      </text>
    </comment>
    <comment ref="AX37" authorId="0" shapeId="0" xr:uid="{8723F0D9-89F8-485A-8791-8892AD205B69}">
      <text>
        <r>
          <rPr>
            <b/>
            <sz val="16"/>
            <color indexed="81"/>
            <rFont val="Tahoma"/>
            <family val="2"/>
          </rPr>
          <t>Guevara Quintero, Zuleika:
PAGADA EL 01 DE AGOSTO DE 2023</t>
        </r>
      </text>
    </comment>
    <comment ref="AY37" authorId="0" shapeId="0" xr:uid="{7DF91648-7F2F-48FB-95B2-61A17FD4F240}">
      <text>
        <r>
          <rPr>
            <b/>
            <sz val="16"/>
            <color indexed="81"/>
            <rFont val="Tahoma"/>
            <family val="2"/>
          </rPr>
          <t>Guevara Quintero, Zuleika:
PAGADA EL 30 DE ENERO DE 2024</t>
        </r>
      </text>
    </comment>
    <comment ref="AZ37" authorId="0" shapeId="0" xr:uid="{B69DAA70-3396-4533-9B56-5C1965BBA4BB}">
      <text>
        <r>
          <rPr>
            <b/>
            <sz val="16"/>
            <color indexed="81"/>
            <rFont val="Tahoma"/>
            <family val="2"/>
          </rPr>
          <t>Guevara Quintero, Zuleika:
PAGADA EL 31 DE ENERO  DE 2024</t>
        </r>
      </text>
    </comment>
    <comment ref="BA37" authorId="0" shapeId="0" xr:uid="{1488594B-0C22-47BF-B4D3-E00C756AD5E8}">
      <text>
        <r>
          <rPr>
            <b/>
            <sz val="16"/>
            <color indexed="81"/>
            <rFont val="Tahoma"/>
            <family val="2"/>
          </rPr>
          <t>Guevara Quintero, Zuleika:
PAGADA EL 31 DE ENERO  DE 2024</t>
        </r>
      </text>
    </comment>
    <comment ref="BB37" authorId="0" shapeId="0" xr:uid="{4E9E7299-7988-4DE5-BCC4-618D24430ED3}">
      <text>
        <r>
          <rPr>
            <b/>
            <sz val="16"/>
            <color indexed="81"/>
            <rFont val="Tahoma"/>
            <family val="2"/>
          </rPr>
          <t>Guevara Quintero, Zuleika:
PAGADA EL 7 DE MAYO DE 2024</t>
        </r>
      </text>
    </comment>
    <comment ref="BC37" authorId="0" shapeId="0" xr:uid="{A98FB51C-81D2-459B-A303-2FA8A56D1B70}">
      <text>
        <r>
          <rPr>
            <b/>
            <sz val="16"/>
            <color indexed="81"/>
            <rFont val="Tahoma"/>
            <family val="2"/>
          </rPr>
          <t>Guevara Quintero, Zuleika:
PAGADA EL 29 DE ENERO DE 2024</t>
        </r>
      </text>
    </comment>
    <comment ref="BD37" authorId="0" shapeId="0" xr:uid="{61734BD6-94B3-45DA-8A89-C9ECB8A8F08C}">
      <text>
        <r>
          <rPr>
            <b/>
            <sz val="16"/>
            <color indexed="81"/>
            <rFont val="Tahoma"/>
            <family val="2"/>
          </rPr>
          <t>Guevara Quintero, Zuleika:
PAGADA  EL 10 DE MAYO DE 2024</t>
        </r>
      </text>
    </comment>
    <comment ref="BE37" authorId="0" shapeId="0" xr:uid="{15257E19-E4CF-412E-B058-68571837551B}">
      <text>
        <r>
          <rPr>
            <b/>
            <sz val="16"/>
            <color indexed="81"/>
            <rFont val="Tahoma"/>
            <family val="2"/>
          </rPr>
          <t>Guevara Quintero, Zuleika:
PAGADA EL 25 DE ENERO DE 2024</t>
        </r>
      </text>
    </comment>
    <comment ref="BG37" authorId="0" shapeId="0" xr:uid="{AF5E3D0D-6ADF-4F5B-B36C-1D77BD51E29F}">
      <text>
        <r>
          <rPr>
            <b/>
            <sz val="16"/>
            <color indexed="81"/>
            <rFont val="Tahoma"/>
            <family val="2"/>
          </rPr>
          <t>Guevara Quintero, Zuleika:
PAGADA EL 15 DE MAYO DE 2024</t>
        </r>
      </text>
    </comment>
    <comment ref="BH37" authorId="0" shapeId="0" xr:uid="{85391729-EA86-456A-A562-2F34CBB2E370}">
      <text>
        <r>
          <rPr>
            <b/>
            <sz val="16"/>
            <color indexed="81"/>
            <rFont val="Tahoma"/>
            <family val="2"/>
          </rPr>
          <t>Guevara Quintero, Zuleika:
PAGADA EL 29 DE MAYO DE 2024</t>
        </r>
      </text>
    </comment>
    <comment ref="BI37" authorId="0" shapeId="0" xr:uid="{1C817A0A-CF94-40C9-8CC3-878DAE182A15}">
      <text>
        <r>
          <rPr>
            <b/>
            <sz val="16"/>
            <color indexed="81"/>
            <rFont val="Tahoma"/>
            <family val="2"/>
          </rPr>
          <t>Guevara Quintero, Zuleika:
PAGADA EL 11 DE JULIO DE 2024</t>
        </r>
      </text>
    </comment>
    <comment ref="BJ37" authorId="0" shapeId="0" xr:uid="{89CC3AE5-C7C3-43DF-B4D2-5ECCB523CBD1}">
      <text>
        <r>
          <rPr>
            <b/>
            <sz val="16"/>
            <color indexed="81"/>
            <rFont val="Tahoma"/>
            <family val="2"/>
          </rPr>
          <t>Guevara Quintero, Zuleika:
PAGADA EL 12 DE JULIO DE 2024</t>
        </r>
      </text>
    </comment>
    <comment ref="V38" authorId="0" shapeId="0" xr:uid="{66DEDA65-866E-4E09-B791-7DE3E4B561E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6 de julio de 2021</t>
        </r>
      </text>
    </comment>
    <comment ref="AE38" authorId="0" shapeId="0" xr:uid="{F701FBA0-EBBE-4F27-B701-8215A898050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abril de 2022</t>
        </r>
      </text>
    </comment>
    <comment ref="AG38" authorId="0" shapeId="0" xr:uid="{3886B367-FB60-4944-BF14-F96F620D0CB8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saldo pendiente diciembre 2021  (16-05-2022)</t>
        </r>
      </text>
    </comment>
    <comment ref="AH38" authorId="0" shapeId="0" xr:uid="{5CB0C256-A02D-4AE7-9B81-2A5ACCA527AC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Bonos atrasados del año 2019 (26-04-2022)</t>
        </r>
      </text>
    </comment>
    <comment ref="AP38" authorId="0" shapeId="0" xr:uid="{E47D858C-C668-4EC9-89A5-63BF9FD4703C}">
      <text>
        <r>
          <rPr>
            <b/>
            <sz val="16"/>
            <color indexed="81"/>
            <rFont val="Tahoma"/>
            <family val="2"/>
          </rPr>
          <t>Guevara Quintero, Zuleika:
PAGADA EL 16 DE ENERO DE 2023</t>
        </r>
      </text>
    </comment>
    <comment ref="AR38" authorId="0" shapeId="0" xr:uid="{F643A2B1-3456-40C9-9E92-735BF9C7A40E}">
      <text>
        <r>
          <rPr>
            <b/>
            <sz val="16"/>
            <color indexed="81"/>
            <rFont val="Tahoma"/>
            <family val="2"/>
          </rPr>
          <t>Guevara Quintero, Zuleika:
PAGADA EL 10 DE ABRIL DE 2023</t>
        </r>
      </text>
    </comment>
    <comment ref="AT38" authorId="0" shapeId="0" xr:uid="{9174DAE8-92E6-4C6A-848F-0AADB01E8631}">
      <text>
        <r>
          <rPr>
            <b/>
            <sz val="16"/>
            <color indexed="81"/>
            <rFont val="Tahoma"/>
            <family val="2"/>
          </rPr>
          <t>Guevara Quintero, Zuleika:
PAGADA EL 13 DE MARZO DE 2023</t>
        </r>
      </text>
    </comment>
    <comment ref="AZ38" authorId="0" shapeId="0" xr:uid="{2EFFC4E1-EE61-44A7-A1C6-D96E725A58B1}">
      <text>
        <r>
          <rPr>
            <b/>
            <sz val="16"/>
            <color indexed="81"/>
            <rFont val="Tahoma"/>
            <family val="2"/>
          </rPr>
          <t>Guevara Quintero, Zuleika:
PAGADA EL 11 DE SEPTIEMBRE DE 2023</t>
        </r>
      </text>
    </comment>
    <comment ref="BG38" authorId="0" shapeId="0" xr:uid="{D3151997-7EC7-4BCD-9591-8E396401EE61}">
      <text>
        <r>
          <rPr>
            <b/>
            <sz val="16"/>
            <color indexed="81"/>
            <rFont val="Tahoma"/>
            <family val="2"/>
          </rPr>
          <t>Guevara Quintero, Zuleika:
saldo pendiente por cancelar del mes de diciembre de 2023 (12-04-2024)</t>
        </r>
      </text>
    </comment>
    <comment ref="BH38" authorId="0" shapeId="0" xr:uid="{CE85401E-EA09-45BB-9E38-79E4AB963995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Bonos atrasados de los años 2021 y 2022 (20-05-2024) B/.300.00</t>
        </r>
      </text>
    </comment>
    <comment ref="BK38" authorId="0" shapeId="0" xr:uid="{8E870D78-B77A-4C33-993F-78701F3A4CD2}">
      <text>
        <r>
          <rPr>
            <b/>
            <sz val="16"/>
            <color indexed="81"/>
            <rFont val="Tahoma"/>
            <family val="2"/>
          </rPr>
          <t>Guevara Quintero, Zuleika:
PAGADA EL 14 DE AGOSTO DE 2024</t>
        </r>
      </text>
    </comment>
    <comment ref="K39" authorId="0" shapeId="0" xr:uid="{133D3628-32E1-4C90-8DC8-BA8B5A8A55D3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Devuelta por el Ministerio de Salud,  mediante Nota N°459/DF/DAP de 10 de agosto de  2020, sin tramitar para mantener en custodia por falta de financiamiento, recibida el 13 de agosto de 2020.
B/. 5,815,057.08</t>
        </r>
      </text>
    </comment>
    <comment ref="AC39" authorId="0" shapeId="0" xr:uid="{3CD70A65-5626-45F3-A6E2-3780948B527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08 de febrero de 2022</t>
        </r>
      </text>
    </comment>
    <comment ref="R40" authorId="0" shapeId="0" xr:uid="{59E76CBB-D573-4E45-A594-FA2BD192A812}">
      <text>
        <r>
          <rPr>
            <b/>
            <sz val="26"/>
            <color indexed="81"/>
            <rFont val="Arial"/>
            <family val="2"/>
          </rPr>
          <t>Guevara Quintero, Zuleika:</t>
        </r>
        <r>
          <rPr>
            <sz val="26"/>
            <color indexed="81"/>
            <rFont val="Arial"/>
            <family val="2"/>
          </rPr>
          <t xml:space="preserve">
pagada el  3 de  febrero  de 2021</t>
        </r>
      </text>
    </comment>
    <comment ref="AE40" authorId="0" shapeId="0" xr:uid="{8229D2B8-2C13-4143-AD84-9445A0D6A76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26 de enero de 2022</t>
        </r>
      </text>
    </comment>
    <comment ref="AR40" authorId="0" shapeId="0" xr:uid="{09036C26-68B5-4087-AB0A-AFF91BED0A92}">
      <text>
        <r>
          <rPr>
            <b/>
            <sz val="16"/>
            <color indexed="81"/>
            <rFont val="Tahoma"/>
            <family val="2"/>
          </rPr>
          <t>Guevara Quintero, Zuleika:
PAGADA EL 18 DE ENERO DE 2023</t>
        </r>
      </text>
    </comment>
    <comment ref="BE40" authorId="0" shapeId="0" xr:uid="{B84A07F5-1F89-4B3F-9D0C-EBCBFD34209E}">
      <text>
        <r>
          <rPr>
            <b/>
            <sz val="16"/>
            <color indexed="81"/>
            <rFont val="Tahoma"/>
            <family val="2"/>
          </rPr>
          <t>Guevara Quintero, Zuleika:
PAGADA EL 26 DE ENERO DE 2024</t>
        </r>
      </text>
    </comment>
    <comment ref="J41" authorId="0" shapeId="0" xr:uid="{23A66DE0-3ADD-40B4-B548-359952452117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pagada el 11 de septiembrede 2020</t>
        </r>
      </text>
    </comment>
    <comment ref="K41" authorId="0" shapeId="0" xr:uid="{0BC2D0D5-D6D0-4A54-B5AD-AE129C4816D2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Guevara Quintero, Zuleika:
Devuelta por el Ministerio de Salud, mediante Nota N°459/DF/DAP de 10 de agosto de 2020, sin tramitar para mantener en custodia por falta de financiamiento, recibida el 13 de agosto de 2020 y se devolvió nuevamente mediante nota DNF-DyC-N-300-2020 de 20 de noviembre de 2020.</t>
        </r>
      </text>
    </comment>
    <comment ref="O41" authorId="0" shapeId="0" xr:uid="{792B65E6-45D2-40D1-89DF-AF88C6655C04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Devuelta por el Ministerio de Salud,  mediante Nota N°692/DF/DAP de 15 de diciembre de  2020, sin tramitar para mantener en custodia por falta de financiamiento, recibida el 28 de diciembre de 2020.</t>
        </r>
      </text>
    </comment>
    <comment ref="R41" authorId="0" shapeId="0" xr:uid="{E25AB65C-8BF4-4FB6-B4C2-266B1201D1DB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Devuelta por el Ministerio de Salud,  mediante Nota N°692/DF/DAP de 15 de diciembre de  2020, sin tramitar para mantener en custodia por falta de financiamiento, recibida el 28 de diciembre de 2020.</t>
        </r>
      </text>
    </comment>
    <comment ref="Y41" authorId="0" shapeId="0" xr:uid="{E7394040-5C77-4A99-B5F9-15520756978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enero de 2022</t>
        </r>
      </text>
    </comment>
    <comment ref="AG41" authorId="0" shapeId="0" xr:uid="{92A8A239-140B-4DD1-8811-343A9F59ABC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mayo de 2022</t>
        </r>
      </text>
    </comment>
    <comment ref="AH41" authorId="0" shapeId="0" xr:uid="{5E19CC6C-9149-42B6-A62E-01C0FEE7D9C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octubre de 2022</t>
        </r>
      </text>
    </comment>
    <comment ref="AJ41" authorId="0" shapeId="0" xr:uid="{5158F36B-6639-450F-8572-23A12CC3352C}">
      <text>
        <r>
          <rPr>
            <b/>
            <sz val="20"/>
            <color indexed="81"/>
            <rFont val="Arial"/>
            <family val="2"/>
          </rPr>
          <t>Guevara Quintero, Zuleika:</t>
        </r>
        <r>
          <rPr>
            <sz val="20"/>
            <color indexed="81"/>
            <rFont val="Arial"/>
            <family val="2"/>
          </rPr>
          <t xml:space="preserve">
Mediante Notas DNF-DyC-N-0058-2022 dirigida al Ministro de Salud y DNF-DyC-N-0059-2022 dirigida a la Directora de Finanzas del MINSA , se presentan nuevamente en el mes de abril de 2022, Gestiones de Cobro  de los trabajadores de las empresas bananeras y de productores independientes de banano del año 2021 que fueron devueltas por el MINSA, debido a que las mismas no contaban con saldo disponible.  
♦  B/. 712,105.21 de marzo a junio de 2021 (21-10-2022)
♦  B/. 626,678.58 de julio y agosto de 2021 (21-10-2022)
♦  B/. 1,429,763.37 de septiembre y octubre a diciembre de 2021  (10-08-2023)</t>
        </r>
      </text>
    </comment>
    <comment ref="AO41" authorId="0" shapeId="0" xr:uid="{39CAB5F6-51F2-4765-BDB8-0E7A3820EC5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julio 2022 (03-04-02023) B/. 204,132.96
marzo a junio de 2022 B/.1,318,218.21 devuelta por el Ministerio de Salud, mediante Nota N°0959/256/DAP de 20 de junio de 2022, sin tramitar por falta de financiamiento y se devolvió nuevamente mediante nota DNF-DyC-N-0118-2022 de 19 de septiembre de 2022 dirigida al Ministro de Salud, DNF-DyC-0182-2022 de 23 de septiembre de 2022 dirigida a la Directora de Finanzas del MINSA.
 junio 2022 (10-08-2023) B/. 318,374.10
marzo 2022 (10-08-2023) B/. 343,283.45
abril 2022 (10-08-2023) B/. 326,796.76
mayo 2022 (10-08-2023) B/. 329,763.90</t>
        </r>
      </text>
    </comment>
    <comment ref="AV41" authorId="0" shapeId="0" xr:uid="{3C023DCD-BBCD-4E21-B41F-D710449BF92C}">
      <text>
        <r>
          <rPr>
            <b/>
            <sz val="16"/>
            <color indexed="81"/>
            <rFont val="Tahoma"/>
            <family val="2"/>
          </rPr>
          <t>Guevara Quintero, Zuleika:
PAGADA EL 23 DE AGOSTO DE 2023</t>
        </r>
      </text>
    </comment>
    <comment ref="AX41" authorId="0" shapeId="0" xr:uid="{C11E371E-5039-4CE2-8983-01C2BDE53799}">
      <text>
        <r>
          <rPr>
            <b/>
            <sz val="16"/>
            <color indexed="81"/>
            <rFont val="Tahoma"/>
            <family val="2"/>
          </rPr>
          <t>Guevara Quintero, Zuleika:
PAGADA EL 31 DE ENERO DE 2024</t>
        </r>
      </text>
    </comment>
    <comment ref="AZ41" authorId="0" shapeId="0" xr:uid="{7CA70FDC-5F5C-40A9-A947-25346B75819D}">
      <text>
        <r>
          <rPr>
            <b/>
            <sz val="16"/>
            <color indexed="81"/>
            <rFont val="Tahoma"/>
            <family val="2"/>
          </rPr>
          <t>Guevara Quintero, Zuleika:
PAGADA EL 31 DE ENERO DE 2024</t>
        </r>
      </text>
    </comment>
    <comment ref="BA41" authorId="0" shapeId="0" xr:uid="{866D168D-33B8-433A-9E0D-2D8938B23B88}">
      <text>
        <r>
          <rPr>
            <b/>
            <sz val="16"/>
            <color indexed="81"/>
            <rFont val="Tahoma"/>
            <family val="2"/>
          </rPr>
          <t>Guevara Quintero, Zuleika:
PAGADA EL 13 DE MAYO DE 2024</t>
        </r>
      </text>
    </comment>
    <comment ref="BG41" authorId="0" shapeId="0" xr:uid="{11F32F12-52EE-44E5-8C3F-4E3D9F1FDB77}">
      <text>
        <r>
          <rPr>
            <b/>
            <sz val="16"/>
            <color indexed="81"/>
            <rFont val="Tahoma"/>
            <family val="2"/>
          </rPr>
          <t>Guevara Quintero, Zuleika:
PAGADA EL 05 DE JUNIO DE 2024</t>
        </r>
      </text>
    </comment>
    <comment ref="G43" authorId="0" shapeId="0" xr:uid="{C0E25442-285E-4982-90DA-44EBF804D649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Ira. Q. de enero 2020 (25-6-2020) 1,675,167.18
2da Q. de enero 2020 (13-7-2020) 1,635,492.30</t>
        </r>
      </text>
    </comment>
    <comment ref="H43" authorId="0" shapeId="0" xr:uid="{D2E9CD50-0815-41FD-90F6-8CF4AC3D0077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Ira. Q. de febrero 2020 (28-5-2020) 1,703,404.39
2da. Q. de febrero 2020 (16-6-2020) 1,679,302.90</t>
        </r>
      </text>
    </comment>
    <comment ref="K43" authorId="0" shapeId="0" xr:uid="{F2966F6A-0020-4FF4-9995-E2662CE72E4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Ira.   y   2da Q. de marzo a mayo 2020 (16-11-2020) 5,008,551.63
</t>
        </r>
      </text>
    </comment>
    <comment ref="L43" authorId="0" shapeId="0" xr:uid="{4BF0F6AE-535E-48CB-99A5-ED782A5769F5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Ira. Q. de junio 2020 1,680,684.20 ( 23-12-2020)
2da. Q de junio 2020  B/.1,645,357.88  ( 23-12-2020)</t>
        </r>
      </text>
    </comment>
    <comment ref="P43" authorId="0" shapeId="0" xr:uid="{09D03BE7-C0CA-4919-9E50-9BDF78EB2AEA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Guevara Quintero, Zuleika:
2da. Q de octubre 2020  B/.1,607,526.85  ( 24-12-2020)</t>
        </r>
      </text>
    </comment>
    <comment ref="T43" authorId="0" shapeId="0" xr:uid="{CEFF3587-7175-4CCD-885F-EEF3B125105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Ira. Q . de enero de 2021  B/. 1,210,758.63  (19-7-2021)
2da.  Q . de enero de 2021  B/. 1,579,489.42 (26-4-2021)</t>
        </r>
      </text>
    </comment>
    <comment ref="U43" authorId="0" shapeId="0" xr:uid="{0FA3DCF9-DD76-43B7-848A-E5DD613D520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Ira. Q . de febrero de 2021  B/. 1,611,968.73 (6-7-2021)
2da.  Q . de febrero de 2021  B/. 1,564,280.77  (16-7-2021)</t>
        </r>
      </text>
    </comment>
    <comment ref="V43" authorId="0" shapeId="0" xr:uid="{008DCB13-9508-4F86-AB9A-AAB5CE4F5E4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6 de julio de 2021
</t>
        </r>
      </text>
    </comment>
    <comment ref="W43" authorId="0" shapeId="0" xr:uid="{29391278-7777-4DAB-9424-F35C8C12D21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29 de octubre de 2021
</t>
        </r>
      </text>
    </comment>
    <comment ref="X43" authorId="1" shapeId="0" xr:uid="{F5B255D8-D036-46B4-B5F7-CAF5043D40A6}">
      <text>
        <r>
          <rPr>
            <b/>
            <sz val="20"/>
            <color indexed="81"/>
            <rFont val="Tahoma"/>
            <family val="2"/>
          </rPr>
          <t>Zuleika:</t>
        </r>
        <r>
          <rPr>
            <sz val="20"/>
            <color indexed="81"/>
            <rFont val="Tahoma"/>
            <family val="2"/>
          </rPr>
          <t xml:space="preserve">
Ira. Q. de mayo de 2021   (14-01-2022) B/.1,574,100.64
2da. Q. de mayo de 2021 (16-02-2022) B/.1,552,279.47
</t>
        </r>
      </text>
    </comment>
    <comment ref="Y43" authorId="0" shapeId="0" xr:uid="{87915682-9AB0-4110-B27A-2F78C2FF5222}">
      <text>
        <r>
          <rPr>
            <b/>
            <sz val="20"/>
            <color indexed="81"/>
            <rFont val="Tahoma"/>
            <family val="2"/>
          </rPr>
          <t xml:space="preserve">Guevara Quintero, Zuleika:
</t>
        </r>
        <r>
          <rPr>
            <sz val="20"/>
            <color indexed="81"/>
            <rFont val="Tahoma"/>
            <family val="2"/>
          </rPr>
          <t xml:space="preserve">Ira. Q. de junio de 2021  B/. 1,567,796.17 (8-11-2021)
</t>
        </r>
        <r>
          <rPr>
            <sz val="9"/>
            <color indexed="81"/>
            <rFont val="Arial"/>
            <family val="2"/>
          </rPr>
          <t xml:space="preserve">
</t>
        </r>
        <r>
          <rPr>
            <sz val="20"/>
            <color indexed="81"/>
            <rFont val="Arial"/>
            <family val="2"/>
          </rPr>
          <t>2da.</t>
        </r>
        <r>
          <rPr>
            <sz val="20"/>
            <color indexed="81"/>
            <rFont val="Tahoma"/>
            <family val="2"/>
          </rPr>
          <t xml:space="preserve"> Q. de junio de 2021  B/. 1,531,699.30 (14-01-2022)</t>
        </r>
      </text>
    </comment>
    <comment ref="Z43" authorId="1" shapeId="0" xr:uid="{D953B308-6CB8-418F-9EB9-8C7D220DD976}">
      <text>
        <r>
          <rPr>
            <b/>
            <sz val="20"/>
            <color indexed="81"/>
            <rFont val="Tahoma"/>
            <family val="2"/>
          </rPr>
          <t>Zuleika:</t>
        </r>
        <r>
          <rPr>
            <sz val="20"/>
            <color indexed="81"/>
            <rFont val="Tahoma"/>
            <family val="2"/>
          </rPr>
          <t xml:space="preserve">
Ira. Q. de julio de 2021   (25-01-2022) B/.1,235,762.43
2da. Q. de julio de 2021 (16-02-2022) B/.1,577,862.44</t>
        </r>
      </text>
    </comment>
    <comment ref="AA43" authorId="1" shapeId="0" xr:uid="{1DEF35FE-9739-4D5A-8DCC-D730BFB5111A}">
      <text>
        <r>
          <rPr>
            <b/>
            <sz val="20"/>
            <color indexed="81"/>
            <rFont val="Tahoma"/>
            <family val="2"/>
          </rPr>
          <t>Zuleika:</t>
        </r>
        <r>
          <rPr>
            <sz val="20"/>
            <color indexed="81"/>
            <rFont val="Tahoma"/>
            <family val="2"/>
          </rPr>
          <t xml:space="preserve">
2da. Q. de agosto  de 2021  (25-01-2022) B/. 1,522,668.60
Ira Q. de agosto de 2021 (16-02-2022) B/. 1,505,424.34
</t>
        </r>
      </text>
    </comment>
    <comment ref="AB43" authorId="1" shapeId="0" xr:uid="{AD30F889-ECDC-42F6-8496-CD0357B6DAC0}">
      <text>
        <r>
          <rPr>
            <b/>
            <sz val="18"/>
            <color indexed="81"/>
            <rFont val="Tahoma"/>
            <family val="2"/>
          </rPr>
          <t>Zuleika:</t>
        </r>
        <r>
          <rPr>
            <sz val="18"/>
            <color indexed="81"/>
            <rFont val="Tahoma"/>
            <family val="2"/>
          </rPr>
          <t xml:space="preserve">
2da. Q. de septiembre de 2021 (24-02-2022) B/.1,524,328.74
Ira Q. de septiembre de 2021 (24-02-2022) B/.1,409,011.55</t>
        </r>
      </text>
    </comment>
    <comment ref="AC43" authorId="0" shapeId="0" xr:uid="{639901C7-2076-49F9-AC06-254B4380DCC1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Ira Q. de octubre de 2021 (08-03-2022) B/.1,548,704.07
2da. Q. de octubre  de 2021  (03-03-2022) B/.1,495,726.16
</t>
        </r>
      </text>
    </comment>
    <comment ref="AD43" authorId="1" shapeId="0" xr:uid="{C4338ED0-4713-4E7C-B699-6E16E042022A}">
      <text>
        <r>
          <rPr>
            <b/>
            <sz val="18"/>
            <color indexed="81"/>
            <rFont val="Tahoma"/>
            <family val="2"/>
          </rPr>
          <t>Zuleika:</t>
        </r>
        <r>
          <rPr>
            <sz val="18"/>
            <color indexed="81"/>
            <rFont val="Tahoma"/>
            <family val="2"/>
          </rPr>
          <t xml:space="preserve">
Ira y 2da. Q. de noviembre de 2021 (10-03-2022) B/.5,203,271.42
</t>
        </r>
      </text>
    </comment>
    <comment ref="AE43" authorId="1" shapeId="0" xr:uid="{021EECE6-3AAC-4594-9479-4924C9C9B8A7}">
      <text>
        <r>
          <rPr>
            <b/>
            <sz val="18"/>
            <color indexed="81"/>
            <rFont val="Tahoma"/>
            <family val="2"/>
          </rPr>
          <t>Zuleika:</t>
        </r>
        <r>
          <rPr>
            <sz val="18"/>
            <color indexed="81"/>
            <rFont val="Tahoma"/>
            <family val="2"/>
          </rPr>
          <t xml:space="preserve">
Ira y 2da. Q. de diciembre de 2021 (07-04-2022) B/.5,235,065.66
</t>
        </r>
      </text>
    </comment>
    <comment ref="AG43" authorId="0" shapeId="0" xr:uid="{3ADAB727-FC4B-482D-ADB6-13621DE5302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abril de 2022</t>
        </r>
      </text>
    </comment>
    <comment ref="AH43" authorId="0" shapeId="0" xr:uid="{02332118-F2A9-4940-A49A-0AC147FAE7E7}">
      <text>
        <r>
          <rPr>
            <b/>
            <sz val="20"/>
            <color indexed="81"/>
            <rFont val="Arial"/>
            <family val="2"/>
          </rPr>
          <t>Guevara Quintero, Zuleika:</t>
        </r>
        <r>
          <rPr>
            <sz val="20"/>
            <color indexed="81"/>
            <rFont val="Arial"/>
            <family val="2"/>
          </rPr>
          <t xml:space="preserve">
febrero 2022   F. Compl. de Riesgos (11-05-2022) B/.5,989.54
2da. Q. de febrero de 2022 (22-11-2022)
</t>
        </r>
      </text>
    </comment>
    <comment ref="AI43" authorId="1" shapeId="0" xr:uid="{86E6126A-10D7-41C8-B5D9-D2E2048E075A}">
      <text>
        <r>
          <rPr>
            <b/>
            <sz val="26"/>
            <color indexed="81"/>
            <rFont val="Tahoma"/>
            <family val="2"/>
          </rPr>
          <t>Zuleika:</t>
        </r>
        <r>
          <rPr>
            <sz val="26"/>
            <color indexed="81"/>
            <rFont val="Tahoma"/>
            <family val="2"/>
          </rPr>
          <t xml:space="preserve">
Zuleika:
Ira. Q. de marzo 2022 (22-11-2022) B/.1,466,285.38
2da. Q. de marzo 2022 (22-11-2022) B/.1,449,280.14</t>
        </r>
      </text>
    </comment>
    <comment ref="AJ43" authorId="1" shapeId="0" xr:uid="{50A5B6F3-6642-4EC6-A839-8D621AB3A6B4}">
      <text>
        <r>
          <rPr>
            <b/>
            <sz val="22"/>
            <color indexed="81"/>
            <rFont val="Tahoma"/>
            <family val="2"/>
          </rPr>
          <t>Zuleika:</t>
        </r>
        <r>
          <rPr>
            <sz val="22"/>
            <color indexed="81"/>
            <rFont val="Tahoma"/>
            <family val="2"/>
          </rPr>
          <t xml:space="preserve">
Ira. Q. de abril 2022 (25-11-2022) B/.1,415,657.16
2da. Q. de abril 2022 (12-12-2022) B/.1,506,037.12</t>
        </r>
      </text>
    </comment>
    <comment ref="AK43" authorId="0" shapeId="0" xr:uid="{92EADD20-4613-4D8E-A965-FC9EF1EC643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Ira. Q. de mayo 2022 (19-12-2022) B/.1,450,653.90
2da. Q. de mayo 2022 (19-12-2022) B/.1,475,783.18</t>
        </r>
      </text>
    </comment>
    <comment ref="AL43" authorId="0" shapeId="0" xr:uid="{72DB8972-9842-495E-ADCA-7920F276D05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Ira. Q. de junio 2022 (19-12-2022) B/.1,503,102.96
2da. Q. de junio 2022 (19-12-2022) B/.1,454,439.06
</t>
        </r>
      </text>
    </comment>
    <comment ref="AM43" authorId="0" shapeId="0" xr:uid="{96525560-E6B8-43CE-83AF-F220648A1B25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Ira. Q. de julio 2022 (19-12-2022) B/.1,455,846.79
2da. Q. de julio 2022 (19-12-2022) B/.1,448,615.36</t>
        </r>
      </text>
    </comment>
    <comment ref="AN43" authorId="0" shapeId="0" xr:uid="{A86E4224-3986-4605-96AD-B64F75D888C3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Ira. Q. de agosto 2022 (19-12-2022) B/.1,417,828.13
2da. Q. de agosto 2022 (19-12-2022) B/.1,406,434.66</t>
        </r>
      </text>
    </comment>
    <comment ref="AO43" authorId="0" shapeId="0" xr:uid="{71AC2963-9F79-444B-AB53-6E2591038F33}">
      <text>
        <r>
          <rPr>
            <sz val="22"/>
            <color indexed="81"/>
            <rFont val="Tahoma"/>
            <family val="2"/>
          </rPr>
          <t>Guevara Quintero, Zuleika:
Ira. Q. de septiembre 2022 (07-03-2023) B/.979,036.14
2da. Q. de septiembre 2022 (03-02-2023) B/.1,378,819.76</t>
        </r>
      </text>
    </comment>
    <comment ref="AP43" authorId="0" shapeId="0" xr:uid="{D2B84DF3-447E-4BD0-B522-9561E303D569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2da. Q. de octubre 2022 (10-04-2023) B/.1,302,325.54
Ira. Q. de octubre 2022 (10-04-2023) B/.1,348,405.81
</t>
        </r>
      </text>
    </comment>
    <comment ref="AQ43" authorId="0" shapeId="0" xr:uid="{485BC512-2182-45AF-A940-D780AA84248D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Ira y 2da. Q. de noviembre 2022 (03-04-2023) B/.2,524,057.11
</t>
        </r>
      </text>
    </comment>
    <comment ref="AR43" authorId="0" shapeId="0" xr:uid="{5042060C-7EA1-4779-90E2-6E9035523845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Ira y 2da. Q. de diciembre 2022 (03-04-2023) B/.2,539,125.78
</t>
        </r>
      </text>
    </comment>
    <comment ref="AT43" authorId="0" shapeId="0" xr:uid="{730DB350-01F8-4E08-8A1C-2432C2E30EB3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2da. Q. de enero 2023 (26-07-2023) B/.1,334,410.72
saldo pendiente de noviembre, diciembre de 2022 y  Ira Q. de  enero de 2023 ( 14-08-2023) B/.1,471,438.12</t>
        </r>
      </text>
    </comment>
    <comment ref="AU43" authorId="0" shapeId="0" xr:uid="{DDD30524-BCAA-41CC-BCEE-32F212508048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2da. Q. de febrero 2023 (26-07-2023) B/.1,290,155.45
Ira. Q. de febrero 2023 (19-12-2023) B/.1,376,390.41</t>
        </r>
      </text>
    </comment>
    <comment ref="AV43" authorId="0" shapeId="0" xr:uid="{7EC37328-EDBB-4B9E-A942-63350AFCF78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Ira. Q. de marzo 2023 (08-09-2023) B/.1,311,174.32
2da Q. de marzo 2023 (19-12-2023) B/.1,351,268.59</t>
        </r>
      </text>
    </comment>
    <comment ref="AW43" authorId="0" shapeId="0" xr:uid="{40433A09-C4E8-40EF-8DF3-8F5AA4B944E2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Ira. Q. de abril 2023 (09-08-2023) B/.1,343,283.07
2da Q. de abril 2023 (19-12-2023) B/.1,303,467.35</t>
        </r>
      </text>
    </comment>
    <comment ref="AX43" authorId="0" shapeId="0" xr:uid="{210AC5C9-D269-4296-9E9A-19AF432F4B74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2da. Q. de mayo 2023 (02-08-2023) B/.1,313,047.13
Ira Q. de mayo 2023 (19-12-2023) B/.1,260,850.62</t>
        </r>
      </text>
    </comment>
    <comment ref="AY43" authorId="0" shapeId="0" xr:uid="{1E51F0E6-5B58-439B-8D9A-88ED529EE5C1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Ira. Q. de junio de 2023 (09-02-2024) B/. 1,261,822.70
2da. Q. de junio 2023 (13-05-2024) B/.1,242,937.34</t>
        </r>
      </text>
    </comment>
    <comment ref="AZ43" authorId="0" shapeId="0" xr:uid="{464F1726-91EF-4198-91C5-489E7234F3B2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Ira. Q. de julio de 2023 (26-01-2024) B/. 1,185,415.62
2da. Q. de julio de 2023 (05-02-2024) B/. 1,304,070.50
</t>
        </r>
      </text>
    </comment>
    <comment ref="BA43" authorId="0" shapeId="0" xr:uid="{A357350C-C516-460F-9D88-F5027008EBDD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Ira. Q. de agosto de 2023 (21-02-2024) B/. 1,251,199.46
2da. Q. de agosto de 2023 (21-02-2024) B/. 1,289,548.93</t>
        </r>
      </text>
    </comment>
    <comment ref="BB43" authorId="0" shapeId="0" xr:uid="{34DDCBDD-2615-4B2B-BF94-C1CBC22E9AF4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2da Q. de septiembre de 2023 (09-05-2024) B/. 1,264,731.48
1ra Q. de septiembre de 2023 (09-05-2024) B/. 1,310,503.33
</t>
        </r>
      </text>
    </comment>
    <comment ref="BC43" authorId="0" shapeId="0" xr:uid="{50D71B82-EA00-4436-BD56-1D0B3EBFB246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Ira. Q. de octubre de 2023 (24-01-2024) B/. 1,246,556.14
2da Q. de octubre de 2023 (07-02-2024) B/. 1,253,728.71</t>
        </r>
      </text>
    </comment>
    <comment ref="BD43" authorId="0" shapeId="0" xr:uid="{623249BD-FB0B-4390-B096-B29D0EB50D9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2da. Q. de noviembre de 2023 (10-05-2024) B/. 1,211,458.72
Ira. Q. de noviembre de 2023 (10-05-2024) B/.1,227,204.28</t>
        </r>
      </text>
    </comment>
    <comment ref="BE43" authorId="0" shapeId="0" xr:uid="{A9836067-1BCE-4681-8007-5F947503E33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2da Q. de diciembre de 2023 (10-05-2024) B/. 1,222,463.32
Ira. Q. de diciembre de 2023 (10-05-2024) B/.1,238,388.31</t>
        </r>
      </text>
    </comment>
    <comment ref="BG43" authorId="0" shapeId="0" xr:uid="{22850EB3-FA73-4EF9-8EC3-DCEDC5CA3077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Ira. Q. de enero de 2024 (21-05-2024) B/.1,163,994.62
2da. Q. de enero de 2024 (20-05-2024) B/.1,150,978.74</t>
        </r>
      </text>
    </comment>
    <comment ref="BH43" authorId="0" shapeId="0" xr:uid="{57515BCE-6EED-404C-9CFA-14AB321A7D05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Ira. Q. de febrero de 2024 (29-05-2024) B/. 1,238,882.56
2da. Q. de febrero de 2024 (28-05-2024) B/. 1,226,965.90</t>
        </r>
      </text>
    </comment>
    <comment ref="BJ43" authorId="0" shapeId="0" xr:uid="{F2ACD176-6F87-442C-BD3E-1D0017F93D58}">
      <text>
        <r>
          <rPr>
            <b/>
            <sz val="12"/>
            <color indexed="81"/>
            <rFont val="Tahoma"/>
            <family val="2"/>
          </rPr>
          <t>Guevara Quintero, Zuleika:</t>
        </r>
        <r>
          <rPr>
            <sz val="12"/>
            <color indexed="81"/>
            <rFont val="Tahoma"/>
            <family val="2"/>
          </rPr>
          <t xml:space="preserve">
2da. Q. de abril de 2024 (20-08-2024) B/. 1,194,202.25
Ira. Q. de abril de 2024 (20-08-2024) B/. 1,122,505.01</t>
        </r>
      </text>
    </comment>
    <comment ref="Y46" authorId="0" shapeId="0" xr:uid="{3FC16613-44F2-40EF-BC31-B8DFFE8129F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21 de enero de 2022</t>
        </r>
      </text>
    </comment>
    <comment ref="AC46" authorId="0" shapeId="0" xr:uid="{C2E21EC0-61DB-49E6-8D44-6A495334E7B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noviembre de 2021</t>
        </r>
      </text>
    </comment>
    <comment ref="AE46" authorId="0" shapeId="0" xr:uid="{14FD427B-71AE-4636-BE0C-A6A16814496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26 de enero de 2022</t>
        </r>
      </text>
    </comment>
    <comment ref="AG46" authorId="0" shapeId="0" xr:uid="{60F639DA-3651-4376-A2B9-24631B10F15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mayo de 2022</t>
        </r>
      </text>
    </comment>
    <comment ref="AI46" authorId="0" shapeId="0" xr:uid="{6A4E5E63-C684-49E8-AE87-58478301DC60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pagada el 21 de octubre de 2022</t>
        </r>
      </text>
    </comment>
    <comment ref="AK46" authorId="0" shapeId="0" xr:uid="{FF17971C-2A78-494D-9497-AF684B7B4C1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junio de 2022</t>
        </r>
      </text>
    </comment>
    <comment ref="AL46" authorId="0" shapeId="0" xr:uid="{67FCDCA9-0336-4976-8AC5-384145C8B56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2022 (13-07-2022)
abril 2022 (19-10-2022)</t>
        </r>
      </text>
    </comment>
    <comment ref="AN46" authorId="0" shapeId="0" xr:uid="{9AFF82A2-B27A-4BF1-970D-72F7FDB59CB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6 de septiembre de 2022</t>
        </r>
      </text>
    </comment>
    <comment ref="AP46" authorId="0" shapeId="0" xr:uid="{17CA29E2-0A0A-4BFA-97BF-6D803780DEDF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7 de noviembre de 2022</t>
        </r>
      </text>
    </comment>
    <comment ref="AQ46" authorId="0" shapeId="0" xr:uid="{3C37E96A-9962-4EAE-BF41-8616A040B136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6 de enero de 2023</t>
        </r>
      </text>
    </comment>
    <comment ref="AT46" authorId="0" shapeId="0" xr:uid="{BE19E817-84B8-4388-BEEB-9B724EA46C4D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28 de febrero de 2023</t>
        </r>
      </text>
    </comment>
    <comment ref="AU46" authorId="0" shapeId="0" xr:uid="{E4565F1B-758D-4A3F-BEB6-E8D3844818EA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17 de marzo de 2023</t>
        </r>
      </text>
    </comment>
    <comment ref="AW46" authorId="0" shapeId="0" xr:uid="{48087660-3B17-45D1-A837-BAD509FDA9F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03 de mayo de 2023</t>
        </r>
      </text>
    </comment>
    <comment ref="AX46" authorId="0" shapeId="0" xr:uid="{3EE03537-D3CB-45A5-87FE-5AB17B099A46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29 de junio de 2023
pagada </t>
        </r>
      </text>
    </comment>
    <comment ref="AZ46" authorId="0" shapeId="0" xr:uid="{DA4754D9-BD74-40D0-9A15-392ADC57EF79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mayo 2023 (09-08-2023)
</t>
        </r>
      </text>
    </comment>
    <comment ref="BA46" authorId="0" shapeId="0" xr:uid="{A2DFF39C-5E21-488A-B2CF-C10811A27FD8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junio 2023 (30-08-2023)
julio 2023 (25-09-2023)
</t>
        </r>
      </text>
    </comment>
    <comment ref="BB46" authorId="0" shapeId="0" xr:uid="{8562ABB6-C71F-4E4F-8AF2-8C0EF1B934C6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agosto 2023 (18-10-2023)
</t>
        </r>
      </text>
    </comment>
    <comment ref="BD46" authorId="0" shapeId="0" xr:uid="{452C7212-C3DB-4335-BEE1-924B0C49CE73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septiembre 2023 (18-12-2023)
noviembre 2023 (07-02-2024)</t>
        </r>
      </text>
    </comment>
    <comment ref="BE46" authorId="0" shapeId="0" xr:uid="{38BE88BB-9C41-4538-89EA-A541EF08C73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octubre 2023 (25-01-2024)
diciembre 2023 (26-02-2024)</t>
        </r>
      </text>
    </comment>
    <comment ref="BG46" authorId="0" shapeId="0" xr:uid="{0636E740-9345-4A6F-8431-1756FAA8ED40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2024 (17-04-2024)
</t>
        </r>
      </text>
    </comment>
    <comment ref="BH46" authorId="0" shapeId="0" xr:uid="{6792453E-C65D-47B9-A964-7B4FB4EA7E1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febrero 2024 (16-05-2024)
</t>
        </r>
      </text>
    </comment>
    <comment ref="BI46" authorId="0" shapeId="0" xr:uid="{73F4B840-2D20-4091-BD31-A71EE3B66CD2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marzo 2024 (10-06-2024)
</t>
        </r>
      </text>
    </comment>
    <comment ref="BJ46" authorId="0" shapeId="0" xr:uid="{C2D0171B-CFCD-4CA9-9949-DF2DB60E850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abril 2024 (21-06-2024)
</t>
        </r>
      </text>
    </comment>
    <comment ref="AA47" authorId="0" shapeId="0" xr:uid="{B894C985-8FA8-40F5-BE80-20CC5618A5E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  25 de octubre de 2021</t>
        </r>
      </text>
    </comment>
    <comment ref="AC47" authorId="0" shapeId="0" xr:uid="{7BD62794-EB22-4D21-8208-4B1311CBDA4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noviembre de 2021</t>
        </r>
      </text>
    </comment>
    <comment ref="AE47" authorId="0" shapeId="0" xr:uid="{21669686-F0B8-4D70-BBBF-4B641F4F13B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26 de enero de 2022</t>
        </r>
      </text>
    </comment>
    <comment ref="AG47" authorId="0" shapeId="0" xr:uid="{519E9BF2-4CEF-4921-90E3-FABB9793614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8 de abril de 2022</t>
        </r>
      </text>
    </comment>
    <comment ref="AI47" authorId="0" shapeId="0" xr:uid="{F6C027D3-DA10-4F03-A227-9C8C32001EA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23 de mayo de 2022</t>
        </r>
      </text>
    </comment>
    <comment ref="AK47" authorId="0" shapeId="0" xr:uid="{4F50C132-CAC1-40F5-BB54-34AEEBB9785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junio de 2022</t>
        </r>
      </text>
    </comment>
    <comment ref="AL47" authorId="0" shapeId="0" xr:uid="{8EED45B5-3824-4AE0-8561-DA8B47C53B5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abril 2022 (29-07-2022)
mayo 2022 (21-07-2022)</t>
        </r>
      </text>
    </comment>
    <comment ref="AN47" authorId="0" shapeId="0" xr:uid="{F5C701ED-CA54-4E77-A020-EE633A731C3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septiembre de 2022</t>
        </r>
      </text>
    </comment>
    <comment ref="AP47" authorId="0" shapeId="0" xr:uid="{9406091D-CA99-46B1-BF2A-946EB48B562A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7 de noviembre de 2022</t>
        </r>
      </text>
    </comment>
    <comment ref="AQ47" authorId="0" shapeId="0" xr:uid="{D676F3AB-25AB-4E85-99FA-850C37027F4D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septiembre 2022 (06-01-2023) B/. 36,105.56
octubre 2022 (06-01-2023) B/. 21,686.15</t>
        </r>
      </text>
    </comment>
    <comment ref="AT47" authorId="0" shapeId="0" xr:uid="{AF9535CD-23D9-4BCD-A723-3708BEFE6E64}">
      <text>
        <r>
          <rPr>
            <b/>
            <sz val="36"/>
            <color indexed="81"/>
            <rFont val="Tahoma"/>
            <family val="2"/>
          </rPr>
          <t>Guevara Quintero, Zuleika:</t>
        </r>
        <r>
          <rPr>
            <sz val="36"/>
            <color indexed="81"/>
            <rFont val="Tahoma"/>
            <family val="2"/>
          </rPr>
          <t xml:space="preserve">
noviembre 2022 (15-02-2023)
diciembre 2022 (15-02-2023)</t>
        </r>
      </text>
    </comment>
    <comment ref="AU47" authorId="0" shapeId="0" xr:uid="{21AF2CAE-A2D2-40F6-BC8C-C57509D42F8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17 de marzo de 2023</t>
        </r>
      </text>
    </comment>
    <comment ref="AW47" authorId="0" shapeId="0" xr:uid="{5594EBBF-1273-4419-86C7-FB256190CEA1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03 de mayo de 2023</t>
        </r>
      </text>
    </comment>
    <comment ref="AX47" authorId="0" shapeId="0" xr:uid="{2B28B51F-F0BB-42C6-8887-67253AACCAE9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abril 2023 (23-06-2023)
marzo 2023 (06-06-2023)</t>
        </r>
      </text>
    </comment>
    <comment ref="AZ47" authorId="0" shapeId="0" xr:uid="{EEBD960F-E813-4415-AB3C-99A719433B5F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mayo 2023 (16-08-2023)
</t>
        </r>
      </text>
    </comment>
    <comment ref="BA47" authorId="0" shapeId="0" xr:uid="{6AB001F0-0EC9-42C1-8713-6979629F0C2A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julio 2023 (14-09-2023)
junio 2023 (04-09-2023)</t>
        </r>
      </text>
    </comment>
    <comment ref="BD47" authorId="0" shapeId="0" xr:uid="{B01E72E6-E2F8-4491-B783-AB5D021346A6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septiembre 2023 (19-12-2023)
noviembre  2023 (16-02-2024)
</t>
        </r>
      </text>
    </comment>
    <comment ref="BE47" authorId="0" shapeId="0" xr:uid="{0154ABE0-35C8-4704-9014-1BD8C2E00957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octubre 2023 (25-01-2024)
diciembre 2023 (26-02-2024)</t>
        </r>
      </text>
    </comment>
    <comment ref="BG47" authorId="0" shapeId="0" xr:uid="{7D24D854-ECC7-4DD1-981E-A3F936C13A1D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2024 (18-04-2024)
</t>
        </r>
      </text>
    </comment>
    <comment ref="BH47" authorId="0" shapeId="0" xr:uid="{69B93205-D4F9-4432-B37B-3323178B12B7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febrero de 2024 (09-05-2024)
</t>
        </r>
      </text>
    </comment>
    <comment ref="BI47" authorId="0" shapeId="0" xr:uid="{756FFDD9-ED4B-4DF8-8AB2-DED48A7AF8F0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marzo de 2024 (18-06-2024)
</t>
        </r>
      </text>
    </comment>
    <comment ref="BJ47" authorId="0" shapeId="0" xr:uid="{69885AE6-892A-47D7-881C-23DB17CF08A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abril de 2024 (21-06-2024)
</t>
        </r>
      </text>
    </comment>
    <comment ref="BK47" authorId="0" shapeId="0" xr:uid="{DA137817-2006-4B3A-B9A5-6DA423108A9D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mayo de 2024 (21-08-2024)
</t>
        </r>
      </text>
    </comment>
    <comment ref="AA48" authorId="0" shapeId="0" xr:uid="{21C412B9-A8FC-4F47-95FB-B49A7EAFA74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16 de febrero de 2022</t>
        </r>
      </text>
    </comment>
    <comment ref="AC48" authorId="0" shapeId="0" xr:uid="{F2F748C8-1B43-4C6A-BB6D-4794FB4FEDA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19 de noviembre de 2021</t>
        </r>
      </text>
    </comment>
    <comment ref="AE48" authorId="0" shapeId="0" xr:uid="{1453C490-E70C-4D2B-9067-DD581AD9546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 de marzo de 2022</t>
        </r>
      </text>
    </comment>
    <comment ref="AG48" authorId="0" shapeId="0" xr:uid="{B46D71B0-1A9A-4550-9948-5FDA47D1D17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4 de mayo de 2022</t>
        </r>
      </text>
    </comment>
    <comment ref="AI48" authorId="0" shapeId="0" xr:uid="{35D5EEC3-36FA-48AA-AE29-0F36364DBFC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6 de mayo de 2022</t>
        </r>
      </text>
    </comment>
    <comment ref="AK48" authorId="0" shapeId="0" xr:uid="{1BDEB7A9-92A3-4B53-83DF-7A01EE1DE78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6 de junio de 2022</t>
        </r>
      </text>
    </comment>
    <comment ref="AL48" authorId="0" shapeId="0" xr:uid="{D07C3A0F-8617-4D46-A78F-F1F3D9D9D9BD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mayo 2022 (14-07-2022)
abril 2022 (21-09-2022)</t>
        </r>
      </text>
    </comment>
    <comment ref="AN48" authorId="0" shapeId="0" xr:uid="{CABA0BD6-4DA4-463B-BD0A-6626738AA48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septiembre de 2022</t>
        </r>
      </text>
    </comment>
    <comment ref="AP48" authorId="0" shapeId="0" xr:uid="{67CDE3FC-A370-4B0E-98CC-3DF9049597D9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28 de octubre de 2022</t>
        </r>
      </text>
    </comment>
    <comment ref="AQ48" authorId="0" shapeId="0" xr:uid="{58320DC1-322F-44EA-AAD2-AA185A2806D1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octubre 2022 (15-12-2022) B/.152,762.97
septiembre 2022 (06-01-2023) B/.152,667.33</t>
        </r>
      </text>
    </comment>
    <comment ref="AT48" authorId="0" shapeId="0" xr:uid="{43267355-1BC3-432E-B409-A6B3D13DE346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diciembre 2022 (15-02-2023)
noviembre 2022 (15-02-2023)</t>
        </r>
      </text>
    </comment>
    <comment ref="AU48" authorId="0" shapeId="0" xr:uid="{EB200957-BD13-409B-847B-63F9CDF11435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15 de marzo de 2023</t>
        </r>
      </text>
    </comment>
    <comment ref="AW48" authorId="0" shapeId="0" xr:uid="{5EAA5837-8FB0-48EA-A6DF-281C401B7C8B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03 de mayo de 2023</t>
        </r>
      </text>
    </comment>
    <comment ref="AX48" authorId="0" shapeId="0" xr:uid="{CDCCAA30-C02A-4608-A287-D44400724A7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2023 (21-06-2023)
marzo 2023 (06-06-2023)</t>
        </r>
      </text>
    </comment>
    <comment ref="AZ48" authorId="0" shapeId="0" xr:uid="{BF232A82-8999-4BB8-9A42-E4B33E8B3D16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mayo 2023 (09-08-2023)
</t>
        </r>
      </text>
    </comment>
    <comment ref="BA48" authorId="0" shapeId="0" xr:uid="{8197A5CD-5E40-4A64-82FF-2712BC9B2AF5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junio 2023 (25-08-2023)
julio  2023 (18-09-2023)
</t>
        </r>
      </text>
    </comment>
    <comment ref="BB48" authorId="0" shapeId="0" xr:uid="{8B130ACD-22BB-4077-BFCA-4C0D3978FA3F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agosto 2023 (18-10-2023)
</t>
        </r>
      </text>
    </comment>
    <comment ref="BD48" authorId="0" shapeId="0" xr:uid="{E83656E2-0C46-4B72-998B-BD4A468B3C67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septiembre 2023 (23-01-2024)
noviembre 2023 (08-02-2024)
</t>
        </r>
      </text>
    </comment>
    <comment ref="BE48" authorId="0" shapeId="0" xr:uid="{75DD3896-0C01-48C4-8497-74404ECF1832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octubre 2023 (25-01-2024)
diciembre 2023 (21-02-2024)
</t>
        </r>
      </text>
    </comment>
    <comment ref="BG48" authorId="0" shapeId="0" xr:uid="{8FE32C1A-54C3-4E2F-876E-1C27EF5F87D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2024 (16-04-2024)
</t>
        </r>
      </text>
    </comment>
    <comment ref="BH48" authorId="0" shapeId="0" xr:uid="{C86159CC-2EC2-46BD-B672-43F38FF6EA7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febrero de 2024 (09-05-2024)
</t>
        </r>
      </text>
    </comment>
    <comment ref="BI48" authorId="0" shapeId="0" xr:uid="{2DCFFFF2-E6E1-4889-AE7B-75456A733E45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marzo de 2024 (10-06-2024)
</t>
        </r>
      </text>
    </comment>
    <comment ref="BJ48" authorId="0" shapeId="0" xr:uid="{7BF707C1-C46D-4015-9FA5-E52E5F414EEA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abril de 2024 (21-06-2024)
</t>
        </r>
      </text>
    </comment>
    <comment ref="BK48" authorId="0" shapeId="0" xr:uid="{7D3AAE36-E743-4E38-A1D0-F96B59701FC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mayo de 2024 (21-08-2024)
</t>
        </r>
      </text>
    </comment>
    <comment ref="AA49" authorId="0" shapeId="0" xr:uid="{D58AB38D-F873-4F17-B50F-7621483CB3E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31 de enero de 2022</t>
        </r>
      </text>
    </comment>
    <comment ref="AC49" authorId="0" shapeId="0" xr:uid="{4148CF71-5C0F-4003-A62F-D95CAB85847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02 de febrero de 2022</t>
        </r>
      </text>
    </comment>
    <comment ref="AE49" authorId="0" shapeId="0" xr:uid="{ECD49357-C91C-4756-AB38-EEF4876C01D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31 de enero de 2022</t>
        </r>
      </text>
    </comment>
    <comment ref="AG49" authorId="0" shapeId="0" xr:uid="{6486083D-DE09-449F-8834-60FDB918FA6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4 de mayo de 2022</t>
        </r>
      </text>
    </comment>
    <comment ref="AI49" authorId="0" shapeId="0" xr:uid="{A90EC6E2-DCC6-4DA9-9233-2C0E1815C6E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octubre de 2022</t>
        </r>
      </text>
    </comment>
    <comment ref="AK49" authorId="0" shapeId="0" xr:uid="{E366E884-F539-45D2-AFC0-565AF7AFF46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20 de junio de 2022</t>
        </r>
      </text>
    </comment>
    <comment ref="AL49" authorId="0" shapeId="0" xr:uid="{85BBE1AE-C506-42E6-B9DA-608860BD90C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19  de octubre de 2022</t>
        </r>
      </text>
    </comment>
    <comment ref="AN49" authorId="0" shapeId="0" xr:uid="{10571B3B-9B71-4B42-894E-5F5E7895A00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13 de septiembre de 2022</t>
        </r>
      </text>
    </comment>
    <comment ref="AP49" authorId="0" shapeId="0" xr:uid="{917A92CD-7C38-4B79-819A-E6480032B173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7 de noviembre de 2022</t>
        </r>
      </text>
    </comment>
    <comment ref="AQ49" authorId="0" shapeId="0" xr:uid="{18FFACAB-2D6F-4000-B7BA-E0ABC882E61A}">
      <text>
        <r>
          <rPr>
            <b/>
            <sz val="16"/>
            <color indexed="81"/>
            <rFont val="Tahoma"/>
            <family val="2"/>
          </rPr>
          <t>Guevara Quintero, Zuleika:</t>
        </r>
        <r>
          <rPr>
            <sz val="16"/>
            <color indexed="81"/>
            <rFont val="Tahoma"/>
            <family val="2"/>
          </rPr>
          <t xml:space="preserve">
septiembre 2022 (19-12-2022) B/.197,369.75
octubre 2022 ( 06-01-2023) B/. 177,785.00</t>
        </r>
      </text>
    </comment>
    <comment ref="AT49" authorId="0" shapeId="0" xr:uid="{E80990DA-9CB3-4099-A448-E28D21529A57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diciembre 2022 (15-02-2023)
noviembre 2022 (15-02-2023)</t>
        </r>
      </text>
    </comment>
    <comment ref="AU49" authorId="0" shapeId="0" xr:uid="{80290692-1F28-4DEC-B97E-B3A658164EA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15 de marzo de 2023</t>
        </r>
      </text>
    </comment>
    <comment ref="AW49" authorId="0" shapeId="0" xr:uid="{D69491AF-C972-4550-A8BA-2BF84A91E131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03 de mayo de 2023</t>
        </r>
      </text>
    </comment>
    <comment ref="AX49" authorId="0" shapeId="0" xr:uid="{7E0B074E-DF8E-4ACC-85E7-38844DB669D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2023 (22-06-2023)</t>
        </r>
      </text>
    </comment>
    <comment ref="AZ49" authorId="0" shapeId="0" xr:uid="{5F6DE33A-5DCD-48ED-ADC1-F6FA5D366524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2023 (10-08-2023)
</t>
        </r>
      </text>
    </comment>
    <comment ref="BA49" authorId="0" shapeId="0" xr:uid="{AFEE2339-D6B7-4568-AE0C-A0C4FED37F6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junio 2023 (30-08-2023)
julio 2023 (21-09-2023)</t>
        </r>
      </text>
    </comment>
    <comment ref="BB49" authorId="0" shapeId="0" xr:uid="{A32ABFE3-F762-4D26-A631-9755DED5EA20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agosto 2023 (25-10-2023)</t>
        </r>
      </text>
    </comment>
    <comment ref="BD49" authorId="0" shapeId="0" xr:uid="{87279FCE-B311-4856-9B2B-97240B0AF23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septiembre 2023 (17-01-2024)
noviembre 2023 ( 20-02-2024)</t>
        </r>
      </text>
    </comment>
    <comment ref="BE49" authorId="0" shapeId="0" xr:uid="{E9CEECC0-F508-4D62-9F1C-75B424A37F5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octubre 2023 (25-01-2024)
diciembre 2023 (21-02-2024)
</t>
        </r>
      </text>
    </comment>
    <comment ref="BG49" authorId="0" shapeId="0" xr:uid="{EC93247F-5D56-48E6-AC75-0C2F7ACB8D66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2024 (16-04-2024)
</t>
        </r>
      </text>
    </comment>
    <comment ref="BH49" authorId="0" shapeId="0" xr:uid="{D5AB95E9-A547-4060-B3C2-CE3272D9327F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febrero de 2024 (08-05-2024)
</t>
        </r>
      </text>
    </comment>
    <comment ref="BI49" authorId="0" shapeId="0" xr:uid="{C9B1336D-BAAC-4B0D-952B-B047FC4F1F70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marzo de 2024 (10-06-2024)
</t>
        </r>
      </text>
    </comment>
    <comment ref="BJ49" authorId="0" shapeId="0" xr:uid="{3516730B-477C-40CE-A874-F7C08E3B6812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abril de 2024 (25-06-2024)
</t>
        </r>
      </text>
    </comment>
    <comment ref="BK49" authorId="0" shapeId="0" xr:uid="{858B56FA-7A73-4BE7-8A47-AEEC42626111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mayo de 2024 (23-08-2024)
</t>
        </r>
      </text>
    </comment>
    <comment ref="AA50" authorId="0" shapeId="0" xr:uid="{51071027-6E45-43F8-847F-DA0470ED9EF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21 de enero de 2022</t>
        </r>
      </text>
    </comment>
    <comment ref="AC50" authorId="0" shapeId="0" xr:uid="{1964E9B6-9A64-4119-8409-6C7F257D019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30 de noviembre de 2021</t>
        </r>
      </text>
    </comment>
    <comment ref="AE50" authorId="0" shapeId="0" xr:uid="{08B908E2-4B69-4C47-B7A5-404919A9A1B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enero de 2022</t>
        </r>
      </text>
    </comment>
    <comment ref="AG50" authorId="0" shapeId="0" xr:uid="{2C238D7A-750C-4625-8EDD-16606660DED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01 de abril de 2022</t>
        </r>
      </text>
    </comment>
    <comment ref="AI50" authorId="0" shapeId="0" xr:uid="{0B247687-B590-46FF-AFB6-362E646873A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29 de abril de 2022</t>
        </r>
      </text>
    </comment>
    <comment ref="AK50" authorId="0" shapeId="0" xr:uid="{AA1071D0-C49C-4825-9D3B-DB95FBB7C57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junio de 2022</t>
        </r>
      </text>
    </comment>
    <comment ref="AL50" authorId="0" shapeId="0" xr:uid="{B849FBB8-697A-45F1-9C6D-81286A33C10B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mayo 2022 (14-07-2022)
marzo y abril (21-09-2022)</t>
        </r>
      </text>
    </comment>
    <comment ref="AN50" authorId="0" shapeId="0" xr:uid="{961E7DF3-33BB-4693-A976-48F9D672309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7 de septiembre de 2022</t>
        </r>
      </text>
    </comment>
    <comment ref="AP50" authorId="0" shapeId="0" xr:uid="{A86D1096-84B8-4BB2-B047-731C8A889A73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7 de noviembre de 2022</t>
        </r>
      </text>
    </comment>
    <comment ref="AQ50" authorId="0" shapeId="0" xr:uid="{4247F092-96D5-490F-BBA6-2687920064D2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septiembre 2022 (06-01-2023)
octubre 2022 (06-01-2023</t>
        </r>
      </text>
    </comment>
    <comment ref="AU50" authorId="0" shapeId="0" xr:uid="{A92F713D-D7F6-411F-AE18-A888B2463CAA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17 de marzo de 2023</t>
        </r>
      </text>
    </comment>
    <comment ref="AW50" authorId="0" shapeId="0" xr:uid="{61CC64F6-A390-49D5-848C-1DD790AA4BBA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05 de mayo de 2023</t>
        </r>
      </text>
    </comment>
    <comment ref="AX50" authorId="0" shapeId="0" xr:uid="{81B65D4B-6BD7-40A8-B99E-9998A281C495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abril 2023 ( 27-06-2023)
marzo 2023 (07-06-2023)</t>
        </r>
      </text>
    </comment>
    <comment ref="AZ50" authorId="0" shapeId="0" xr:uid="{885E3C34-1016-41BC-A9A1-5AF85B012B33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y junio 2023 (08-08-2023)
</t>
        </r>
      </text>
    </comment>
    <comment ref="BA50" authorId="0" shapeId="0" xr:uid="{12A79733-1F08-4CC7-94FE-DA67EF6EE2B4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junio 2023 (23-08-2023)
julio 2023 (21-09-2023)
</t>
        </r>
      </text>
    </comment>
    <comment ref="BB50" authorId="0" shapeId="0" xr:uid="{99FB5DAF-D922-43B0-B9E2-DFB1C9F219B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agosto 2023 (19-10-2023)
</t>
        </r>
      </text>
    </comment>
    <comment ref="BD50" authorId="0" shapeId="0" xr:uid="{BDE5C699-277E-4D7A-BFEC-52576A8592B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septiembre 2023 (23-01-2024)
noviembre 2023  (19-02-2024)
</t>
        </r>
      </text>
    </comment>
    <comment ref="BE50" authorId="0" shapeId="0" xr:uid="{DD9391C6-4962-4F5E-99EF-32E3373435ED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octubre 2023 (25-01-2024)
diciembre 2023 (21-02-2024)
</t>
        </r>
      </text>
    </comment>
    <comment ref="BG50" authorId="0" shapeId="0" xr:uid="{2A2EEE5D-47B9-4EA9-8050-3EE185FFE825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2024 (16-04-2024)
</t>
        </r>
      </text>
    </comment>
    <comment ref="BH50" authorId="0" shapeId="0" xr:uid="{89150912-AC6B-4FD0-BA72-9F1E25BD5045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febrero de 2024 (08-05-2024)
</t>
        </r>
      </text>
    </comment>
    <comment ref="BI50" authorId="0" shapeId="0" xr:uid="{8F0CE36C-85B7-4879-986F-C64853BAE0A0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marzo de 2024 (19-06-2024)
</t>
        </r>
      </text>
    </comment>
    <comment ref="BJ50" authorId="0" shapeId="0" xr:uid="{33213B02-05A5-4F76-AFAB-1C374DD46CC9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abril de 2024 (25-06-2024)
</t>
        </r>
      </text>
    </comment>
    <comment ref="BK50" authorId="0" shapeId="0" xr:uid="{BE75EF22-E5CD-4598-925B-69A2077E8618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mayo de 2024 (22-08-2024)
</t>
        </r>
      </text>
    </comment>
    <comment ref="Y51" authorId="0" shapeId="0" xr:uid="{0C653B39-5247-426D-B34A-D8C7990075D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31 de enero de 2022</t>
        </r>
      </text>
    </comment>
    <comment ref="AA51" authorId="0" shapeId="0" xr:uid="{BA105B06-81FE-4553-9F47-A302A4E96DD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16 de febrero de 2022</t>
        </r>
      </text>
    </comment>
    <comment ref="AC51" authorId="0" shapeId="0" xr:uid="{7BCECDA4-8A65-46DA-819A-A2700228D11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 de marzo de 2022</t>
        </r>
      </text>
    </comment>
    <comment ref="AE51" authorId="0" shapeId="0" xr:uid="{B17F7B6C-F948-4F37-A3B5-CDA40807E6C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8 de abril de 2022</t>
        </r>
      </text>
    </comment>
    <comment ref="AG51" authorId="0" shapeId="0" xr:uid="{7080F30D-2D09-4460-AC87-9837E3A8E26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04 de mayo de 2022</t>
        </r>
      </text>
    </comment>
    <comment ref="AI51" authorId="0" shapeId="0" xr:uid="{9B8B5E51-E27A-4AC2-8DDC-31700487552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21 de octubre de 2022</t>
        </r>
      </text>
    </comment>
    <comment ref="AK51" authorId="0" shapeId="0" xr:uid="{DAABE3CA-B0F0-46B7-8F65-8CB8078AA22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8 de junio de 2022</t>
        </r>
      </text>
    </comment>
    <comment ref="AL51" authorId="0" shapeId="0" xr:uid="{3D9E6593-5E62-4814-9FFF-003A0019CF0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 el 19 de octubre de 2022</t>
        </r>
      </text>
    </comment>
    <comment ref="AN51" authorId="0" shapeId="0" xr:uid="{AED7F5A7-E284-4623-A1CF-68A2199A5EF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5 de septiembre de 2022</t>
        </r>
      </text>
    </comment>
    <comment ref="AP51" authorId="0" shapeId="0" xr:uid="{0DD0F3E4-BD73-4BA7-A03B-25D5E201E1C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24 de enero de 2023</t>
        </r>
      </text>
    </comment>
    <comment ref="AQ51" authorId="0" shapeId="0" xr:uid="{769318D9-56C6-4097-95EB-7153FFE5949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03 de abril de 2023</t>
        </r>
      </text>
    </comment>
    <comment ref="AT51" authorId="0" shapeId="0" xr:uid="{5E04CE5E-3BC9-43AE-8C09-466888E9530F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21 de julio de 2023</t>
        </r>
      </text>
    </comment>
    <comment ref="AU51" authorId="0" shapeId="0" xr:uid="{D26ED6D1-7667-4879-9846-3B424E88247D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17 de marzo de 2023</t>
        </r>
      </text>
    </comment>
    <comment ref="AW51" authorId="0" shapeId="0" xr:uid="{06D0BB99-9B72-48B5-9571-07363F989617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28 de abril de 2023</t>
        </r>
      </text>
    </comment>
    <comment ref="AX51" authorId="0" shapeId="0" xr:uid="{F7538E52-7FDE-4B47-A30C-A635B80F666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2023 (22-06-2023)
marzo 2023 (06-06-2023)</t>
        </r>
      </text>
    </comment>
    <comment ref="AZ51" authorId="0" shapeId="0" xr:uid="{234C4630-3CB0-457A-A945-5F1D3545501B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y junio 2023 (09-08-2023)
</t>
        </r>
      </text>
    </comment>
    <comment ref="BA51" authorId="0" shapeId="0" xr:uid="{4019B06D-6CDA-425E-8D19-2881C906807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julio 2023 (29-01-2024)
</t>
        </r>
      </text>
    </comment>
    <comment ref="BB51" authorId="0" shapeId="0" xr:uid="{9981CD69-5093-4F86-A1CE-23FD3216F5B3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agosto 2023 (31-01-2024)
</t>
        </r>
      </text>
    </comment>
    <comment ref="BD51" authorId="0" shapeId="0" xr:uid="{20CB3D5E-BA6E-4081-980F-9B5649E55C76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septiembre de 2023 (17-01-2024)
noviembre de 2023 (15-05-2024)
</t>
        </r>
      </text>
    </comment>
    <comment ref="BE51" authorId="0" shapeId="0" xr:uid="{F43231BF-5B8C-4A23-BC1E-27DDBA05C35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diciembre de 2023 (17-05-2024) B/. 203,399.74
octubre de 2023 (07-05-2024) B/. 247,389.10</t>
        </r>
      </text>
    </comment>
    <comment ref="BG51" authorId="0" shapeId="0" xr:uid="{93661BA1-362A-4812-83FE-D74B69C5115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2024 (17-05-2024)
</t>
        </r>
      </text>
    </comment>
    <comment ref="BH51" authorId="0" shapeId="0" xr:uid="{55E114DE-4D03-48B5-95B2-12E64E565FC3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febrero de 2024 (09-05-2024)
</t>
        </r>
      </text>
    </comment>
    <comment ref="BI51" authorId="0" shapeId="0" xr:uid="{28DAB4D0-4BA9-443F-BA3D-AE58EB7E3C4A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marzo de 2024 (05-06-2024)
</t>
        </r>
      </text>
    </comment>
    <comment ref="BJ51" authorId="0" shapeId="0" xr:uid="{E0A37DA5-225A-47BC-91B0-4CEED6B1BD0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abril de 2024 (25-06-2024)
</t>
        </r>
      </text>
    </comment>
    <comment ref="BK51" authorId="0" shapeId="0" xr:uid="{30D53E87-79F1-4243-A0C8-D787D50261E1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mayo de 2024 (28-08-2024)
</t>
        </r>
      </text>
    </comment>
    <comment ref="AA52" authorId="0" shapeId="0" xr:uid="{F3FC8597-EB78-459E-AB9A-FFD53BB47BB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23 de noviembre de 2021</t>
        </r>
      </text>
    </comment>
    <comment ref="AC52" authorId="0" shapeId="0" xr:uid="{333BB742-A867-4899-8EB5-87DE6216C54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noviembre de 2021</t>
        </r>
      </text>
    </comment>
    <comment ref="AE52" authorId="0" shapeId="0" xr:uid="{6A8584AC-9468-4587-B8CD-F62F44CB2BE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 de marzo de 2022</t>
        </r>
      </text>
    </comment>
    <comment ref="AG52" authorId="0" shapeId="0" xr:uid="{965E9EBE-027D-4FE7-A500-72D21741E4E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01 de abril de 2022</t>
        </r>
      </text>
    </comment>
    <comment ref="AL52" authorId="0" shapeId="0" xr:uid="{AF729EBA-E7A3-4CF5-9263-E7A63CD2E8FB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abril 2022 (19-10-2022)</t>
        </r>
      </text>
    </comment>
    <comment ref="AP52" authorId="0" shapeId="0" xr:uid="{4E218C4D-D9C7-4B8B-A891-B097754C4372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7 de noviembre de 2022</t>
        </r>
      </text>
    </comment>
    <comment ref="AQ52" authorId="0" shapeId="0" xr:uid="{E98A4D4F-23B0-4091-8241-33F375218438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 el 6 de enero de 2023</t>
        </r>
      </text>
    </comment>
    <comment ref="AT52" authorId="0" shapeId="0" xr:uid="{E89945AD-E949-4890-B9B9-B5B0016B4FDB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24 de febrero de 2023</t>
        </r>
      </text>
    </comment>
    <comment ref="BE52" authorId="0" shapeId="0" xr:uid="{E47877FB-7D49-4E06-97A1-69CBFA44CA86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octubre 2023 (25-01-2024)
</t>
        </r>
      </text>
    </comment>
    <comment ref="Y53" authorId="0" shapeId="0" xr:uid="{C726F07E-86CC-44EB-BB77-3E6FFEC8558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enero de 2022</t>
        </r>
      </text>
    </comment>
    <comment ref="AA53" authorId="0" shapeId="0" xr:uid="{0470862E-19B5-4560-BC09-D47AD79E13D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octubre de 2021</t>
        </r>
      </text>
    </comment>
    <comment ref="AI53" authorId="0" shapeId="0" xr:uid="{F8DB2C7D-2AFA-4118-AA9F-8C7DB9916E7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23 de mayo de 2022</t>
        </r>
      </text>
    </comment>
    <comment ref="AK53" authorId="0" shapeId="0" xr:uid="{DED17284-7A19-4CBD-874A-7557E8693EE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junio de 2022</t>
        </r>
      </text>
    </comment>
    <comment ref="AL53" authorId="0" shapeId="0" xr:uid="{BF5F5568-F776-4C08-8230-945DBAC5D4B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 de agosto de 2022</t>
        </r>
      </text>
    </comment>
    <comment ref="BG53" authorId="0" shapeId="0" xr:uid="{67879C22-18E2-48BA-B001-F56DF0F4396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enero 2024 (16-04-2024)
</t>
        </r>
      </text>
    </comment>
    <comment ref="BH53" authorId="0" shapeId="0" xr:uid="{F60B1D09-CADC-4C0D-BA9E-E382C1B7CAC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febrero de 2024 (10-05-2024)
</t>
        </r>
      </text>
    </comment>
    <comment ref="BI53" authorId="0" shapeId="0" xr:uid="{7D42740F-7E22-4B82-BA28-8A878B3860C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marzo de 2024 (05-06-2024)
</t>
        </r>
      </text>
    </comment>
    <comment ref="BJ53" authorId="0" shapeId="0" xr:uid="{E0EF7A84-A54E-4CB0-934C-0E37A091BB3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de 2024 (18-06-2024)
</t>
        </r>
      </text>
    </comment>
    <comment ref="BK53" authorId="0" shapeId="0" xr:uid="{6D35F253-D647-4DFB-A95B-6453E849EFF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de 2024 (28-08-2024)
</t>
        </r>
      </text>
    </comment>
    <comment ref="AA54" authorId="0" shapeId="0" xr:uid="{C2897E1E-8C15-46C3-96F7-BDA83DC5C04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 de octubre de 2021</t>
        </r>
      </text>
    </comment>
    <comment ref="AC54" authorId="0" shapeId="0" xr:uid="{BE1ABAEC-1611-4985-B9EE-479096BEA0D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16 de febrero de 2022</t>
        </r>
      </text>
    </comment>
    <comment ref="AE54" authorId="0" shapeId="0" xr:uid="{9C8606DC-DE8E-42C5-ACD3-65B9B43F870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02 de febrero de 2022</t>
        </r>
      </text>
    </comment>
    <comment ref="AG54" authorId="0" shapeId="0" xr:uid="{E620F593-2C8D-4175-AE6B-1372CBB0626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marzo de 2022</t>
        </r>
      </text>
    </comment>
    <comment ref="AI54" authorId="0" shapeId="0" xr:uid="{617EF73A-BF23-4D6B-AF71-BE7D9E0D285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23 de mayo de 2022</t>
        </r>
      </text>
    </comment>
    <comment ref="AK54" authorId="0" shapeId="0" xr:uid="{3D425F81-0BA3-4074-9E34-9970A9F7AD6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junio de 2022</t>
        </r>
      </text>
    </comment>
    <comment ref="AL54" authorId="0" shapeId="0" xr:uid="{AF89A76F-AA3A-4982-885F-F13C91CE489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2022 (2-8-2022) B/.24,008.00
mayo 2022 ( 19-10-2022) B/. 16,032.00</t>
        </r>
      </text>
    </comment>
    <comment ref="AN54" authorId="0" shapeId="0" xr:uid="{C4B53D65-87F4-48AC-8BC7-FA1B883D761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15 de septiembre de 2022</t>
        </r>
      </text>
    </comment>
    <comment ref="AP54" authorId="0" shapeId="0" xr:uid="{6B4B4D96-2DF9-4A8D-BB90-A66DC95EE4E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7 de noviembre de 2022</t>
        </r>
      </text>
    </comment>
    <comment ref="AQ54" authorId="0" shapeId="0" xr:uid="{D6B86411-8772-4561-B437-DAE3BFCB17B6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octubre 2022 (06-01-2023)
septiembre 2022 (06-01-2023)</t>
        </r>
      </text>
    </comment>
    <comment ref="AT54" authorId="0" shapeId="0" xr:uid="{DD3B3C22-D987-42F7-8C71-0655885C5296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26"/>
            <color indexed="81"/>
            <rFont val="Tahoma"/>
            <family val="2"/>
          </rPr>
          <t>diciembre 2022 (23-02-2023)
noviembre 2022 (15-02-2023)</t>
        </r>
      </text>
    </comment>
    <comment ref="AU54" authorId="0" shapeId="0" xr:uid="{8C37105A-67EF-4659-9B25-70368C11A1A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13 de marzo de 2023</t>
        </r>
      </text>
    </comment>
    <comment ref="AW54" authorId="0" shapeId="0" xr:uid="{D0AF01B2-F80B-4E06-A712-09C7B9E9354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03 de mayo de 2023</t>
        </r>
      </text>
    </comment>
    <comment ref="AX54" authorId="0" shapeId="0" xr:uid="{E6877A90-ADF4-47A2-8D9D-6B9200F7601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2023 (21-06-2023)
marzo  2023 (06-06-2023)</t>
        </r>
      </text>
    </comment>
    <comment ref="AZ54" authorId="0" shapeId="0" xr:uid="{1455D7C4-1536-44B3-A15F-27053EBAA9E5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2023 (09-08-2023)
</t>
        </r>
      </text>
    </comment>
    <comment ref="BA54" authorId="0" shapeId="0" xr:uid="{E6C08F66-A390-4AF4-898A-203F17953792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junio 2023 (30-08-2023)
julio 2023 (19-09-2023)
</t>
        </r>
      </text>
    </comment>
    <comment ref="BB54" authorId="0" shapeId="0" xr:uid="{1FF1CD71-7B97-44F8-80BA-E566690F642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agosto 2023 (18-10-2023)
</t>
        </r>
      </text>
    </comment>
    <comment ref="BD54" authorId="0" shapeId="0" xr:uid="{091EE4E6-6142-4025-A071-844A965B66B2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septiembre 2023 (19-12-2023)
noviembre 2023 (19-02-2024)
</t>
        </r>
      </text>
    </comment>
    <comment ref="BE54" authorId="0" shapeId="0" xr:uid="{0733FD5E-D465-45C9-863F-A436C0FF437D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octubre 2023 (25-01-2024)
diciembre 2023 (21-02-2024)
</t>
        </r>
      </text>
    </comment>
    <comment ref="BG54" authorId="0" shapeId="0" xr:uid="{1BB69B70-D029-466C-8335-B67F5F314F4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enero 2024 (16-04-2024)
</t>
        </r>
      </text>
    </comment>
    <comment ref="BH54" authorId="0" shapeId="0" xr:uid="{2DA8BEA0-EC6D-46E4-BE4A-01217A0D50E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febrero de 2024 (14-05-2024)
</t>
        </r>
      </text>
    </comment>
    <comment ref="BI54" authorId="0" shapeId="0" xr:uid="{A2727DEE-9E0B-4B4D-8C7A-3ED888E3968B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marzo de 2024 (19-06-2024)
</t>
        </r>
      </text>
    </comment>
    <comment ref="BJ54" authorId="0" shapeId="0" xr:uid="{00D06169-FA1A-4886-B428-F6CBB38D5214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de 2024 (21-06-2024)
</t>
        </r>
      </text>
    </comment>
    <comment ref="BK54" authorId="0" shapeId="0" xr:uid="{BFC0F833-C9C2-48A4-AFE8-F80645A8B9B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de 2024 (21-08-2024)
</t>
        </r>
      </text>
    </comment>
    <comment ref="Y55" authorId="0" shapeId="0" xr:uid="{B0506D54-133B-42A1-A624-0C305BFF4BD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23 de noviembre de 2021</t>
        </r>
      </text>
    </comment>
    <comment ref="AA55" authorId="0" shapeId="0" xr:uid="{65F944AE-BEF1-4919-9AA3-BA8D94EB8AC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21 de octubre de 2021</t>
        </r>
      </text>
    </comment>
    <comment ref="AJ55" authorId="0" shapeId="0" xr:uid="{2BB3700C-1129-4734-9C5F-EE7CB4B7BFB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23 de junio de 2022</t>
        </r>
      </text>
    </comment>
    <comment ref="AK55" authorId="0" shapeId="0" xr:uid="{AAEA0791-B5E9-467F-BF52-716591B25611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marzo de 2022 (17-06-2022)</t>
        </r>
      </text>
    </comment>
    <comment ref="AL55" authorId="0" shapeId="0" xr:uid="{997219E6-83D2-4CA6-B2E3-9A1C9C95D968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abril 2022 (28-07-2022)
mayo 2022 (20-07-2022)</t>
        </r>
      </text>
    </comment>
    <comment ref="AN55" authorId="0" shapeId="0" xr:uid="{D031A1A0-D7B6-42D1-8E44-2191D3A2189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5 de octubre de 2022</t>
        </r>
      </text>
    </comment>
    <comment ref="AP55" authorId="0" shapeId="0" xr:uid="{F41890C9-C5AD-4C5F-8EA8-B4A9217CFAEB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 de noviembre de 2022</t>
        </r>
      </text>
    </comment>
    <comment ref="AQ55" authorId="0" shapeId="0" xr:uid="{34418D26-4414-4166-AD28-CABB22061BB7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septiembre 2022 (12-01-2023) B/.156.00
octubre 2022 (06-01-2023) B/. 78.00</t>
        </r>
      </text>
    </comment>
    <comment ref="AT55" authorId="0" shapeId="0" xr:uid="{6C313F85-3891-48E2-8B2A-1E8515EEA97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noviembre 2022 (23-02-2023) B/. 156.00
diciembre 2022 (23-02-2023) B/. 78.00
</t>
        </r>
      </text>
    </comment>
    <comment ref="AU55" authorId="0" shapeId="0" xr:uid="{86B9F36F-F5D8-486F-85FF-814A15CC1324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16 de marzo de 2023</t>
        </r>
      </text>
    </comment>
    <comment ref="AW55" authorId="0" shapeId="0" xr:uid="{7322BB18-3B14-4E94-8DDE-1704381253DC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02 de mayo de 2023</t>
        </r>
      </text>
    </comment>
    <comment ref="AX55" authorId="0" shapeId="0" xr:uid="{BF6C1A67-B529-4B63-9728-FC6328FF5CC0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abril 2023 (22-06-2023)
marzo 2023 (02-06-2023)</t>
        </r>
      </text>
    </comment>
    <comment ref="AZ55" authorId="0" shapeId="0" xr:uid="{03A552DF-94E7-414B-BDA8-F0548378EFC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2023 (14-08-2023)
</t>
        </r>
      </text>
    </comment>
    <comment ref="BA55" authorId="0" shapeId="0" xr:uid="{A2B54B4C-B4CF-4DB6-82A5-BC77526F5C63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junio 2023 (29-08-2023)
julio 2023 (19-09-2023)
</t>
        </r>
      </text>
    </comment>
    <comment ref="BB55" authorId="0" shapeId="0" xr:uid="{751A1A3C-C43F-4577-92D1-40C2BA5079DC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agosto 2023 (19-10-2023)
</t>
        </r>
      </text>
    </comment>
    <comment ref="BD55" authorId="0" shapeId="0" xr:uid="{C5FC623A-A1DF-4E92-BD3F-936B9548EFB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octubre 2023 (24-01-2024)
noviembre 2023 (11-03-2024)
</t>
        </r>
      </text>
    </comment>
    <comment ref="BE55" authorId="0" shapeId="0" xr:uid="{42AB89B4-24EC-4C19-A572-FF88543CDDB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diciembre 2023 (11-03-2024)
</t>
        </r>
      </text>
    </comment>
    <comment ref="BG55" authorId="0" shapeId="0" xr:uid="{53C33C53-2526-43D7-8ADD-1C8C8F27120D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enero 2024 (19-04-2024)
</t>
        </r>
      </text>
    </comment>
    <comment ref="BH55" authorId="0" shapeId="0" xr:uid="{2276FDEB-CE20-40B1-9C94-293EFDF6814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febrero 2024 (20-05-2024)
</t>
        </r>
      </text>
    </comment>
    <comment ref="BI55" authorId="0" shapeId="0" xr:uid="{A36CD265-F42F-4105-A608-7ADA852EB1A3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marzo 2024 (14-06-2024)
</t>
        </r>
      </text>
    </comment>
    <comment ref="BJ55" authorId="0" shapeId="0" xr:uid="{80CB4CAB-C27A-44BC-A063-F60196F4D383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2024 (14-06-2024)
</t>
        </r>
      </text>
    </comment>
    <comment ref="BK55" authorId="0" shapeId="0" xr:uid="{3347A720-D616-477F-9D06-33B974FF73D6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2024 (22-08-2024)
</t>
        </r>
      </text>
    </comment>
    <comment ref="AA56" authorId="0" shapeId="0" xr:uid="{799D7657-FF7B-40BF-B44C-C836ACEAD08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8 de octubre de 2021</t>
        </r>
      </text>
    </comment>
    <comment ref="AB56" authorId="0" shapeId="0" xr:uid="{E58818BD-35D9-4E1E-91AE-ED10A1FF6A8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octubre de 2021</t>
        </r>
      </text>
    </comment>
    <comment ref="AC56" authorId="0" shapeId="0" xr:uid="{0D81F414-118D-4DE7-BE97-DD33278A8A4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30 de noviembre de 2021</t>
        </r>
      </text>
    </comment>
    <comment ref="AE56" authorId="0" shapeId="0" xr:uid="{CFD94920-6EC1-4497-A1EC-E1EB986B0487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27 de enero de 2022</t>
        </r>
      </text>
    </comment>
    <comment ref="AG56" authorId="0" shapeId="0" xr:uid="{89E6E7CD-560D-4D1D-9F79-354E16B3B41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4 de mayo de 2022</t>
        </r>
      </text>
    </comment>
    <comment ref="AI56" authorId="0" shapeId="0" xr:uid="{00E3D624-E104-45F7-A40F-2C3F93BA970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24 de mayo de 2022</t>
        </r>
      </text>
    </comment>
    <comment ref="AK56" authorId="0" shapeId="0" xr:uid="{0E4377DE-6DF2-4D9C-A221-B76C3A84B66A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 de junio de 2022 B/.78.00
</t>
        </r>
      </text>
    </comment>
    <comment ref="AL56" authorId="0" shapeId="0" xr:uid="{2AA1ED3D-DF5E-4AEA-B7F8-801EE42EDEBF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mayo 2022 (21-7-2022)
abril 2022 (19-10-2022)</t>
        </r>
      </text>
    </comment>
    <comment ref="AN56" authorId="0" shapeId="0" xr:uid="{CA547C33-917B-4E0D-BD99-DAD8D325225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12 de septiembre de 2022</t>
        </r>
      </text>
    </comment>
    <comment ref="AP56" authorId="0" shapeId="0" xr:uid="{A482078C-8514-4BE7-A391-6F282815A76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7 de noviembre de 2022</t>
        </r>
      </text>
    </comment>
    <comment ref="AQ56" authorId="0" shapeId="0" xr:uid="{B21CC5DA-FC77-4A39-B969-0503F42B78AD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septiembre 2022 (19-12-2022)
octubre 2022 (06-01-2023)</t>
        </r>
      </text>
    </comment>
    <comment ref="AT56" authorId="0" shapeId="0" xr:uid="{05A237C9-F80D-4C25-9C8B-C3377C76D4A4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diciembre 2022 (15-02-2023)
noviembre 2022 (15-02-2023)</t>
        </r>
      </text>
    </comment>
    <comment ref="AU56" authorId="0" shapeId="0" xr:uid="{92ED7B6E-E8FA-45DC-8B80-AF7BDB00237A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15 de marzo de 2023</t>
        </r>
      </text>
    </comment>
    <comment ref="AW56" authorId="0" shapeId="0" xr:uid="{ADC509DA-DD57-4BEA-BB31-ED6789C16F5F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03 de mayo de 2023</t>
        </r>
      </text>
    </comment>
    <comment ref="AX56" authorId="0" shapeId="0" xr:uid="{7D2B6A41-00D7-44CB-B425-9E01E9C27D15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2023 (23-06-2023)
marzo 2023 (02-06-2023)</t>
        </r>
      </text>
    </comment>
    <comment ref="AZ56" authorId="0" shapeId="0" xr:uid="{DC841E33-00BD-427B-88CF-FD36CA6FD0B3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2023 (16-08-2023)</t>
        </r>
      </text>
    </comment>
    <comment ref="BA56" authorId="0" shapeId="0" xr:uid="{92168D46-B288-4337-826C-BCBF597371D4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junio 2023 (04-09-2023)
julio 2023 (21-09-2023)</t>
        </r>
      </text>
    </comment>
    <comment ref="BB56" authorId="0" shapeId="0" xr:uid="{53E6BADC-A14D-4A7A-9F85-D275A799D9A8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agosto 2023 (17-10-2023)
</t>
        </r>
      </text>
    </comment>
    <comment ref="BD56" authorId="0" shapeId="0" xr:uid="{59F7D479-7A5A-4AB1-A686-518D82C120FC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septiembre 2023 (19-12-2023)
noviembre 2023 ( 07-02-2024)
</t>
        </r>
      </text>
    </comment>
    <comment ref="BE56" authorId="0" shapeId="0" xr:uid="{5AACC49E-A9CF-4DB7-A698-7A9E1B773543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octubre 2023 (25-01-2024)
diciembre 2023 (29-02-2024)
</t>
        </r>
      </text>
    </comment>
    <comment ref="BG56" authorId="0" shapeId="0" xr:uid="{FBBF395B-D924-45D2-BFAD-C8A05DB200C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enero de 2024 (16-04-2024)
</t>
        </r>
      </text>
    </comment>
    <comment ref="BH56" authorId="0" shapeId="0" xr:uid="{997DF7A3-0322-47C3-8508-737760D4CA3B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febrero de 2024 (08-05-2024)
</t>
        </r>
      </text>
    </comment>
    <comment ref="BI56" authorId="0" shapeId="0" xr:uid="{8DCE6D8E-9672-4AB7-A284-CE6328B0A75D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marzo de 2024 (19-06-2024)
</t>
        </r>
      </text>
    </comment>
    <comment ref="BJ56" authorId="0" shapeId="0" xr:uid="{E0AC5DF2-8058-4A9A-A115-02DF60CA8252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abril de 2024 (17-06-2024)
</t>
        </r>
      </text>
    </comment>
    <comment ref="BK56" authorId="0" shapeId="0" xr:uid="{9B8783D0-D3AC-4EBA-B23E-DFF4652E70FD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de 2024 (23-08-2024)
</t>
        </r>
      </text>
    </comment>
    <comment ref="AB57" authorId="0" shapeId="0" xr:uid="{7B201528-E05C-498C-A818-2DDBF60ADDF0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GESTION DE COBRO DE AGOSTO PRESENTADA EL 21 DE SEPTIEMBRE DE 2021</t>
        </r>
      </text>
    </comment>
    <comment ref="AI57" authorId="0" shapeId="0" xr:uid="{B8B40E67-14FD-4AC8-BBCA-49A327E2002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octubre de 2022</t>
        </r>
      </text>
    </comment>
    <comment ref="AJ57" authorId="0" shapeId="0" xr:uid="{316D787F-91B3-41A9-B9C9-8AC7EE9E2846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 de junio de 2022</t>
        </r>
      </text>
    </comment>
    <comment ref="AK57" authorId="0" shapeId="0" xr:uid="{C155CA34-2CA4-483F-9E76-E73F6386775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junio de 2022</t>
        </r>
      </text>
    </comment>
    <comment ref="AL57" authorId="0" shapeId="0" xr:uid="{7A835A04-1B92-469B-9C1C-2DBE8C23A456}">
      <text>
        <r>
          <rPr>
            <b/>
            <sz val="18"/>
            <color indexed="81"/>
            <rFont val="Tahoma"/>
            <family val="2"/>
          </rPr>
          <t>Guevara Quintero, Zuleika:</t>
        </r>
        <r>
          <rPr>
            <sz val="18"/>
            <color indexed="81"/>
            <rFont val="Tahoma"/>
            <family val="2"/>
          </rPr>
          <t xml:space="preserve">
mayo 2022 (14-07-2022)
abril 2022 (19-10-2022)</t>
        </r>
      </text>
    </comment>
    <comment ref="AN57" authorId="0" shapeId="0" xr:uid="{63725575-542D-49E1-86BE-E4BB1AA2943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17 de enero de 2023</t>
        </r>
      </text>
    </comment>
    <comment ref="AO57" authorId="0" shapeId="0" xr:uid="{CAD6E6EC-8DB2-4820-83E6-B4872A588F83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PAGADA EL 7 DE FEBRERO DE 2023</t>
        </r>
      </text>
    </comment>
    <comment ref="AP57" authorId="0" shapeId="0" xr:uid="{3BE84E47-02AE-4DA2-8385-DD79CE87284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enero de 2023</t>
        </r>
      </text>
    </comment>
    <comment ref="AQ57" authorId="0" shapeId="0" xr:uid="{E9F92DD6-1523-403F-B498-EFB1EFC2100C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julio a septiembre 2022 (06-02-2023)</t>
        </r>
      </text>
    </comment>
    <comment ref="AT57" authorId="0" shapeId="0" xr:uid="{2718D63C-ADA4-41E5-9D6D-C223FFDBFCE4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noviembre 2022 (15-02-2023)
diciembre 2022 (15-02-2023)</t>
        </r>
      </text>
    </comment>
    <comment ref="AU57" authorId="0" shapeId="0" xr:uid="{8DB41174-16B9-4433-BE7D-096E18C932B7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13 de marzo de 2023</t>
        </r>
      </text>
    </comment>
    <comment ref="AW57" authorId="0" shapeId="0" xr:uid="{6877428B-E03E-4A0C-B25B-5AB2317D7426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03 de mayo de 2023</t>
        </r>
      </text>
    </comment>
    <comment ref="AX57" authorId="0" shapeId="0" xr:uid="{3EBEB370-E132-4A06-BE41-80F94A61C421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abril 2023  (29-06-2023)
marzo 2023 (06-06-2023)
</t>
        </r>
      </text>
    </comment>
    <comment ref="AZ57" authorId="0" shapeId="0" xr:uid="{432FACB2-83E7-481C-A393-B63C6C029C71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mayo 2023 (09-08-2023)
</t>
        </r>
      </text>
    </comment>
    <comment ref="BA57" authorId="0" shapeId="0" xr:uid="{EFD93902-BA12-46CD-AE01-B9C6F8FBA08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junio 2023 (23-08-2023)
julio 2023 (21-09-2023)
</t>
        </r>
      </text>
    </comment>
    <comment ref="BB57" authorId="0" shapeId="0" xr:uid="{5BC9339B-B867-4D1F-99BB-FDD35352D2F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agosto 2023 (18-10-2023)
</t>
        </r>
      </text>
    </comment>
    <comment ref="BD57" authorId="0" shapeId="0" xr:uid="{C35C7402-8F88-424C-B1F7-5E8B5ABFED95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septiembre 2023 (29-01-2024)
noviembre 2023 (07-02-2024)
</t>
        </r>
      </text>
    </comment>
    <comment ref="BE57" authorId="0" shapeId="0" xr:uid="{6E0E2F8E-CDCE-4843-AFF3-AD2A89B58F9A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octubre 2023 (25-01-2024)
diciembre 2023 (26-02-2024)
</t>
        </r>
      </text>
    </comment>
    <comment ref="BG57" authorId="0" shapeId="0" xr:uid="{75E92621-27A1-453A-BAC3-9DB606EF7977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enero 2024 (11-04-2024)
</t>
        </r>
      </text>
    </comment>
    <comment ref="BH57" authorId="0" shapeId="0" xr:uid="{DC6EB1E0-3DDA-4447-BD76-43693E740EF1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febrero de 2024 (13-05-2024)</t>
        </r>
      </text>
    </comment>
    <comment ref="BI57" authorId="0" shapeId="0" xr:uid="{0D2B41AC-6478-45A7-A0DA-F0D477A9DDC9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marzo de 2024 (04-06-2024)</t>
        </r>
      </text>
    </comment>
    <comment ref="BJ57" authorId="0" shapeId="0" xr:uid="{A3F845C8-7A4F-46B1-BAC0-06C581BF8B13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abril de 2024 (21-06-2024)</t>
        </r>
      </text>
    </comment>
    <comment ref="BK57" authorId="0" shapeId="0" xr:uid="{363B1FE1-A414-4FD6-8386-30C21F986900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mayo de 2024 (21-08-2024)</t>
        </r>
      </text>
    </comment>
    <comment ref="AH58" authorId="0" shapeId="0" xr:uid="{B9F9B658-C4A1-46AB-B149-8F579D917E7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abril de 2022</t>
        </r>
      </text>
    </comment>
    <comment ref="AL58" authorId="0" shapeId="0" xr:uid="{FA512ED2-7B1F-4827-B2B1-086F0787443F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enero a abril 2022 (12-12-2022)</t>
        </r>
      </text>
    </comment>
    <comment ref="AO58" authorId="0" shapeId="0" xr:uid="{CEFE3BE0-D734-4BD6-9A0D-EE405221BE44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PAGADA EL 7 DE FEBRERO DE 2023</t>
        </r>
      </text>
    </comment>
    <comment ref="AU58" authorId="0" shapeId="0" xr:uid="{9BAE905A-12F2-4C43-9367-5EF46625C1A0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19 de diciembre de 2023</t>
        </r>
      </text>
    </comment>
    <comment ref="AX58" authorId="0" shapeId="0" xr:uid="{F0787050-4DA9-437F-8CD9-BDC3048F49FF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19 de diciembre de 2023</t>
        </r>
      </text>
    </comment>
    <comment ref="BA58" authorId="0" shapeId="0" xr:uid="{B70777BD-0D81-4A1F-843B-6BC2DCB67A0A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julio 2023 (05-02-2024)</t>
        </r>
      </text>
    </comment>
    <comment ref="BD58" authorId="0" shapeId="0" xr:uid="{A1D4B3C5-B28C-40C8-BD49-2F968991D088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agosto a octubre 2023 (24-01-2024)
</t>
        </r>
      </text>
    </comment>
    <comment ref="BE58" authorId="0" shapeId="0" xr:uid="{D538FA2A-82A3-4CA7-94BA-9ACE6A4178ED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noviembre y diciembre de 2023 (20-05-2024)
</t>
        </r>
      </text>
    </comment>
    <comment ref="AC59" authorId="0" shapeId="0" xr:uid="{7A297E34-D1F2-47E1-9286-3F872382046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 de diciembre de 2021</t>
        </r>
      </text>
    </comment>
    <comment ref="AO59" authorId="0" shapeId="0" xr:uid="{F329EE41-93B0-446B-AD5B-7440536139CC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PAGADA EL 17 DE OCTUBRE DE 2022</t>
        </r>
      </text>
    </comment>
    <comment ref="AU59" authorId="0" shapeId="0" xr:uid="{1174F906-79C1-40C7-916A-350F9D7356BE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09 de marzo de 2023</t>
        </r>
      </text>
    </comment>
    <comment ref="BE59" authorId="0" shapeId="0" xr:uid="{56ACBFBE-A99D-4772-BC2A-317E1EDF0E43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noviembre y diciembre de 2023 (19-03-2024) B/.80.00
</t>
        </r>
      </text>
    </comment>
    <comment ref="BI59" authorId="0" shapeId="0" xr:uid="{787DC481-3166-4C05-B1F7-2D76EA1D7B59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a marzo de 2024 (18-06-2024)</t>
        </r>
      </text>
    </comment>
    <comment ref="AC60" authorId="0" shapeId="0" xr:uid="{3FEFA09D-8CE3-4660-B0F3-B579883A196B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11 de abril de 2022</t>
        </r>
      </text>
    </comment>
    <comment ref="AH60" authorId="0" shapeId="0" xr:uid="{7B44AAAC-CDA9-4630-8483-F766BCB2E57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30 de marzo de 2022</t>
        </r>
      </text>
    </comment>
    <comment ref="AL60" authorId="0" shapeId="0" xr:uid="{6D100E67-B53C-4A42-B612-C5ACB1A9167C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Pagada el 19 de octubre de 2022</t>
        </r>
      </text>
    </comment>
    <comment ref="AO60" authorId="0" shapeId="0" xr:uid="{6E260052-98DE-4D88-926C-D06676050620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octubre de 2022</t>
        </r>
      </text>
    </comment>
    <comment ref="AU60" authorId="0" shapeId="0" xr:uid="{64687A7C-C962-4072-A57D-CF3DBF5E5266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25 de julio de 2023</t>
        </r>
      </text>
    </comment>
    <comment ref="AX60" authorId="0" shapeId="0" xr:uid="{CB6EA144-6F47-46B5-800D-A578D75F00E4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enero a abril de 2023</t>
        </r>
      </text>
    </comment>
    <comment ref="BA60" authorId="0" shapeId="0" xr:uid="{B7BD9B3F-E4AE-4F9D-9993-7614A1EED0E1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mayo a julio de 2023</t>
        </r>
      </text>
    </comment>
    <comment ref="BD60" authorId="0" shapeId="0" xr:uid="{CF3CA32D-F7EE-438C-A732-8EB4CBC0D9DA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agosto a octubre de 2023</t>
        </r>
      </text>
    </comment>
    <comment ref="BE60" authorId="0" shapeId="0" xr:uid="{B9D6C9DF-BDC5-45D4-8586-C20A1929245F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noviembre y diciembre de 2023 (19-03-2024) B/.148,059.08
</t>
        </r>
      </text>
    </comment>
    <comment ref="BI60" authorId="0" shapeId="0" xr:uid="{A2C4312E-1226-466C-AE8B-0BF5E6D42212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a marzo de 2024 (18-06-2024)</t>
        </r>
      </text>
    </comment>
    <comment ref="AC61" authorId="0" shapeId="0" xr:uid="{76290616-5E20-456C-87F2-4AD50133868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 de febrero de 2022</t>
        </r>
      </text>
    </comment>
    <comment ref="AH61" authorId="0" shapeId="0" xr:uid="{CBAB30CC-5F4A-47E0-AB9F-463A24F3D6D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24 de marzo de 2022</t>
        </r>
      </text>
    </comment>
    <comment ref="AL61" authorId="0" shapeId="0" xr:uid="{C36D2E61-CD67-47F4-B124-E3AD430DA2C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6 de julio de 2022</t>
        </r>
      </text>
    </comment>
    <comment ref="AO61" authorId="0" shapeId="0" xr:uid="{A9CAF40F-75F0-4EA3-B67F-251348408711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25 de enero de 2023</t>
        </r>
      </text>
    </comment>
    <comment ref="AU61" authorId="0" shapeId="0" xr:uid="{0CCBF2D2-A8E0-421A-8DF7-03D67BA7AFAF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11 de agosto de 2023</t>
        </r>
      </text>
    </comment>
    <comment ref="AX61" authorId="0" shapeId="0" xr:uid="{E9FF24BE-65AD-4947-9D06-3AEBB91FE1D0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noviembre y diciembre 2020; agosto a diciembre 2022 (13-06-2023)</t>
        </r>
      </text>
    </comment>
    <comment ref="BA61" authorId="0" shapeId="0" xr:uid="{F0CA5B57-A3C1-41F3-921C-E3987598F16E}">
      <text>
        <r>
          <rPr>
            <b/>
            <sz val="22"/>
            <color indexed="81"/>
            <rFont val="Tahoma"/>
            <family val="2"/>
          </rPr>
          <t>Guevara Quintero, Zuleika:</t>
        </r>
        <r>
          <rPr>
            <sz val="22"/>
            <color indexed="81"/>
            <rFont val="Tahoma"/>
            <family val="2"/>
          </rPr>
          <t xml:space="preserve">
noviembre y diciembre 2020; septiembre, noviembre, diciembre 2022 y enero a abril 2023, presentada en el mes de julio 2023 (08-09-2023)</t>
        </r>
      </text>
    </comment>
    <comment ref="BD61" authorId="0" shapeId="0" xr:uid="{2821D6F3-5DB9-48C9-8489-3358D1B4962C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agosto a octubre de 2023 (17-01-2024) 
</t>
        </r>
      </text>
    </comment>
    <comment ref="BE61" authorId="0" shapeId="0" xr:uid="{E2189DBF-867A-4839-8295-B80A13D6DDFB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noviembre y diciembre de 2023 (19-03-2024) B/.104,124.86
</t>
        </r>
      </text>
    </comment>
    <comment ref="BI61" authorId="0" shapeId="0" xr:uid="{1883C0DD-0B28-47C1-816F-A05951D91F44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a marzo de 2024 (17-06-2024)</t>
        </r>
      </text>
    </comment>
    <comment ref="AC62" authorId="0" shapeId="0" xr:uid="{F2D4B0E2-9B32-42D4-9EEC-8D16CBDE8914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25 de noviembre de 2021</t>
        </r>
      </text>
    </comment>
    <comment ref="AH62" authorId="0" shapeId="0" xr:uid="{ED4011BB-3BAA-49F9-BA8A-EA8B8F2C0E0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21 de marzo de 2022</t>
        </r>
      </text>
    </comment>
    <comment ref="AL62" authorId="0" shapeId="0" xr:uid="{2972B339-54A1-4320-9F43-B3298E06FBE9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14 de julio de 2022</t>
        </r>
      </text>
    </comment>
    <comment ref="AO62" authorId="0" shapeId="0" xr:uid="{FE887B94-DD15-413F-8775-571A4C70BFF9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pagada el 19 de octubre de 2022</t>
        </r>
      </text>
    </comment>
    <comment ref="AU62" authorId="0" shapeId="0" xr:uid="{A2055F91-562D-4558-AC9F-4375D9D40670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25 de julio de 2023</t>
        </r>
      </text>
    </comment>
    <comment ref="AX62" authorId="0" shapeId="0" xr:uid="{2C33F72C-D6A7-4866-BED6-3BF37F96CD28}">
      <text>
        <r>
          <rPr>
            <b/>
            <sz val="26"/>
            <color indexed="81"/>
            <rFont val="Tahoma"/>
            <family val="2"/>
          </rPr>
          <t>Guevara Quintero, Zuleika:</t>
        </r>
        <r>
          <rPr>
            <sz val="26"/>
            <color indexed="81"/>
            <rFont val="Tahoma"/>
            <family val="2"/>
          </rPr>
          <t xml:space="preserve">
diciembre 2020; diciembre 2021, septiembre a diciembre 2022, enero y febrero 2023 (07-06-2023)</t>
        </r>
      </text>
    </comment>
    <comment ref="BA62" authorId="0" shapeId="0" xr:uid="{8C6950C2-1117-4AB8-BCB7-2BCECE1E44BF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diciembre 2020; diciembre 2021, enero a abril 2023, presentada en el mes de agosto, interés al mes de julio de 2023 (06-09-2023)</t>
        </r>
      </text>
    </comment>
    <comment ref="BD62" authorId="0" shapeId="0" xr:uid="{5CFE390A-E3D5-4DD7-9582-6FBFCCD2EF17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julio a octubre de 2023 (15-12-2023) B/.154,425.00
</t>
        </r>
      </text>
    </comment>
    <comment ref="BE62" authorId="0" shapeId="0" xr:uid="{8621C73B-0335-446F-B4B0-591897A5A6F4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noviembre y diciembre de 2023 (19-03-2024) B/.88,810.00
</t>
        </r>
      </text>
    </comment>
    <comment ref="BI62" authorId="0" shapeId="0" xr:uid="{3D6D92C7-9754-4EC7-AF92-8CF493167759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enero a marzo de 2024 (21-06-2024)</t>
        </r>
      </text>
    </comment>
    <comment ref="AC63" authorId="0" shapeId="0" xr:uid="{E1AFB064-BDC6-44E6-BA27-9D2B417C9B53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 08 de febrero de 2022</t>
        </r>
      </text>
    </comment>
    <comment ref="AH63" authorId="0" shapeId="0" xr:uid="{E4E5462A-0E45-4E0A-9120-0EB45D18219D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04 de mayo de 2022</t>
        </r>
      </text>
    </comment>
    <comment ref="AL63" authorId="0" shapeId="0" xr:uid="{95539AAC-0963-4E46-8CFA-D8BB33DE28A3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19 de octubre de 2022</t>
        </r>
      </text>
    </comment>
    <comment ref="AO63" authorId="0" shapeId="0" xr:uid="{A56E8FC4-D4E2-40D2-8D94-4F93BB7924BE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7 de febrero de 2023</t>
        </r>
      </text>
    </comment>
    <comment ref="AU63" authorId="0" shapeId="0" xr:uid="{EE40C229-3AEB-47B5-AB8F-75E6A4480234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25 de julio de 2023</t>
        </r>
      </text>
    </comment>
    <comment ref="AX63" authorId="0" shapeId="0" xr:uid="{5CA5DA6B-2A54-48C3-8B74-385E380CF173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28 de julio de 2023</t>
        </r>
      </text>
    </comment>
    <comment ref="BA63" authorId="0" shapeId="0" xr:uid="{C6D50245-F605-4AAE-9E23-884AFE16A1A6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mayo a julio de 2023 (13-05-2024) B/. 312,500.00
</t>
        </r>
      </text>
    </comment>
    <comment ref="BD63" authorId="0" shapeId="0" xr:uid="{2B315F30-45C4-423A-9116-74FCF7E44AA1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agosto a octubre de 2023 (13-05-2024) B/. 562,500.00
</t>
        </r>
      </text>
    </comment>
    <comment ref="BE63" authorId="0" shapeId="0" xr:uid="{0BB1EDE0-F118-4D17-BCE5-674888E570BD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noviembre y diciembre de 2023 (15-05-2024) B/. 500,000.00
</t>
        </r>
      </text>
    </comment>
    <comment ref="AC64" authorId="0" shapeId="0" xr:uid="{651D367F-80BD-440C-A666-66C8D43BF0E5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11 de abril de 2022</t>
        </r>
      </text>
    </comment>
    <comment ref="AH64" authorId="0" shapeId="0" xr:uid="{53A0A5FF-2132-4613-AA43-EC847EA1C822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18 de marzo de 2022</t>
        </r>
      </text>
    </comment>
    <comment ref="AL64" authorId="0" shapeId="0" xr:uid="{90E62472-DD27-49CE-AB4B-EDBB25D3EEA7}">
      <text>
        <r>
          <rPr>
            <b/>
            <sz val="28"/>
            <color indexed="81"/>
            <rFont val="Tahoma"/>
            <family val="2"/>
          </rPr>
          <t xml:space="preserve">Guevara Quintero, Zuleika:
</t>
        </r>
        <r>
          <rPr>
            <b/>
            <sz val="14"/>
            <color indexed="81"/>
            <rFont val="Tahoma"/>
            <family val="2"/>
          </rPr>
          <t>PAGADA EL 19 DE OCTUBRE DE 2022</t>
        </r>
      </text>
    </comment>
    <comment ref="AO64" authorId="0" shapeId="0" xr:uid="{47882677-1A46-490E-8F92-6B3219685AAC}">
      <text>
        <r>
          <rPr>
            <b/>
            <sz val="28"/>
            <color indexed="81"/>
            <rFont val="Tahoma"/>
            <family val="2"/>
          </rPr>
          <t>Guevara Quintero, Zuleika:</t>
        </r>
        <r>
          <rPr>
            <sz val="28"/>
            <color indexed="81"/>
            <rFont val="Tahoma"/>
            <family val="2"/>
          </rPr>
          <t xml:space="preserve">
pagada el 24 de enero de 2023</t>
        </r>
      </text>
    </comment>
    <comment ref="AU64" authorId="0" shapeId="0" xr:uid="{1BA90F35-53CC-4D08-BF54-776B14D4D4D4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11 de agosto de 2023</t>
        </r>
      </text>
    </comment>
    <comment ref="AX64" authorId="0" shapeId="0" xr:uid="{ACAC0D3D-C68B-4A73-877D-06D2AB585547}">
      <text>
        <r>
          <rPr>
            <b/>
            <sz val="24"/>
            <color indexed="81"/>
            <rFont val="Tahoma"/>
            <family val="2"/>
          </rPr>
          <t>Guevara Quintero, Zuleika:</t>
        </r>
        <r>
          <rPr>
            <sz val="24"/>
            <color indexed="81"/>
            <rFont val="Tahoma"/>
            <family val="2"/>
          </rPr>
          <t xml:space="preserve">
pagada el 28 de julio de 2023</t>
        </r>
      </text>
    </comment>
    <comment ref="BA64" authorId="0" shapeId="0" xr:uid="{C075AF22-0D34-4617-8CA5-26785B42C129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mayo a julio  de 2023 (31-01-2024) B/.256,250.00
</t>
        </r>
      </text>
    </comment>
    <comment ref="BD64" authorId="0" shapeId="0" xr:uid="{84F6808F-5133-415A-8957-9EB0A325F35D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agosto a octubre de 2023 (13-05-2024) B/. 461,250.00
</t>
        </r>
      </text>
    </comment>
    <comment ref="BE64" authorId="0" shapeId="0" xr:uid="{392A5E31-382C-41AB-BABF-EDC06731DCBB}">
      <text>
        <r>
          <rPr>
            <b/>
            <sz val="20"/>
            <color indexed="81"/>
            <rFont val="Tahoma"/>
            <family val="2"/>
          </rPr>
          <t>Guevara Quintero, Zuleika:</t>
        </r>
        <r>
          <rPr>
            <sz val="20"/>
            <color indexed="81"/>
            <rFont val="Tahoma"/>
            <family val="2"/>
          </rPr>
          <t xml:space="preserve">
 noviembre y diciembre  de 2023 (22-05-2024) B/. 410,000.00
</t>
        </r>
      </text>
    </comment>
  </commentList>
</comments>
</file>

<file path=xl/sharedStrings.xml><?xml version="1.0" encoding="utf-8"?>
<sst xmlns="http://schemas.openxmlformats.org/spreadsheetml/2006/main" count="127" uniqueCount="115">
  <si>
    <t>CAJA DE SEGURO SOCIAL</t>
  </si>
  <si>
    <t xml:space="preserve"> APORTES Y REEMBOLSOS  DEL ESTADO PENDIENTES DE CANCELAR A LA CAJA DE SEGURO SOCIAL                                                                                                                                                                                                                                                       </t>
  </si>
  <si>
    <t>(EN BALBOAS)</t>
  </si>
  <si>
    <t>VIGENCIA EXPIRADA</t>
  </si>
  <si>
    <t>VIGENCIA CORRIENTE</t>
  </si>
  <si>
    <t>PERIODOS</t>
  </si>
  <si>
    <t>DETALLE</t>
  </si>
  <si>
    <t>TOTAL</t>
  </si>
  <si>
    <t>TOTAL (I+II)</t>
  </si>
  <si>
    <t>TOTAL (1+2+3)</t>
  </si>
  <si>
    <t>SUB TOTAL APORTES</t>
  </si>
  <si>
    <t>1.- APORTES DEL ESTADO</t>
  </si>
  <si>
    <t>GESTIÓN ADMINISTRATIVA</t>
  </si>
  <si>
    <t xml:space="preserve">0.8% de los Salarios Básicos </t>
  </si>
  <si>
    <r>
      <t>Pago a la Junta Técnica Actuarial</t>
    </r>
    <r>
      <rPr>
        <sz val="18"/>
        <rFont val="Arial"/>
        <family val="2"/>
      </rPr>
      <t xml:space="preserve">- Artículo 217 de la Ley  51 de 27 de diciembre de 2005 y Decreto Ejecutivo N°126 de 16 de abril de 2008. </t>
    </r>
  </si>
  <si>
    <t>ACTUARIOS</t>
  </si>
  <si>
    <t xml:space="preserve">Impuesto Selectivo al Consumo de Bebidas Gaseosas, Alcohólicas y Cigarrillos. </t>
  </si>
  <si>
    <t>ENFERMEDAD Y MATERNIDAD</t>
  </si>
  <si>
    <t>6 M 250mil</t>
  </si>
  <si>
    <r>
      <t>Aporte para el Riesgo de Enfermedad y Maternidad</t>
    </r>
    <r>
      <rPr>
        <sz val="18"/>
        <rFont val="Arial"/>
        <family val="2"/>
      </rPr>
      <t xml:space="preserve"> - Artículo 222 de la Ley 51 Orgánica de la Caja de Seguro Social y Decreto de Gabinete N°14 de 22 de abril de 2009.</t>
    </r>
  </si>
  <si>
    <t>INVALIDEZ, VEJEZ Y MUERTE</t>
  </si>
  <si>
    <r>
      <t>Aporte sobre Valores del Estado,</t>
    </r>
    <r>
      <rPr>
        <sz val="18"/>
        <rFont val="Arial"/>
        <family val="2"/>
      </rPr>
      <t xml:space="preserve"> para compensar las Fluctuaciones de las Tasas de Interés- Artículo 101, Numeral 12 de la Ley 51 Orgánica de la C.S.S.</t>
    </r>
  </si>
  <si>
    <t>5M 125mil</t>
  </si>
  <si>
    <t>Aporte por Participación del Impuesto de Fabricación de Cervezas, Licores y Vinos</t>
  </si>
  <si>
    <t>Ingresos del Fondo Especial de Jubilados y Pensionados que pasan a IVM (FEJUPEN)</t>
  </si>
  <si>
    <t>2.-REEMBOLSOS DEL ESTADO</t>
  </si>
  <si>
    <t>INVALIDEZ, VEJEZ Y MUERTE Y RIESGOS PROFESIONALES</t>
  </si>
  <si>
    <r>
      <t xml:space="preserve">Aumento de pensiones concedido en enero de 2007 - </t>
    </r>
    <r>
      <rPr>
        <sz val="18"/>
        <rFont val="Arial"/>
        <family val="2"/>
      </rPr>
      <t>Decreto de Gabinete N°51 de 21-12-2006.</t>
    </r>
  </si>
  <si>
    <r>
      <t xml:space="preserve">Transferencia del Gobierno Central para respaldar el aumento de pensiones del 2009. </t>
    </r>
    <r>
      <rPr>
        <sz val="18"/>
        <rFont val="Arial"/>
        <family val="2"/>
      </rPr>
      <t xml:space="preserve">Ley  22  de  13-4-2009. </t>
    </r>
  </si>
  <si>
    <t>LEY 22</t>
  </si>
  <si>
    <r>
      <t xml:space="preserve">Aumento pactado por el Gobierno Nacional  (Sept-2011), </t>
    </r>
    <r>
      <rPr>
        <sz val="18"/>
        <rFont val="Arial"/>
        <family val="2"/>
      </rPr>
      <t xml:space="preserve">para respaldar el aumento a las pensiones concedido en septiembre de 2011, según Ley 70 del 6-9-2011. </t>
    </r>
  </si>
  <si>
    <t>LEY 70</t>
  </si>
  <si>
    <t>LEY 70 (AUMENTO 2011)</t>
  </si>
  <si>
    <r>
      <t xml:space="preserve">Aumento pactado por el Gobierno Nacional (Sept-2011),  </t>
    </r>
    <r>
      <rPr>
        <sz val="18"/>
        <rFont val="Arial"/>
        <family val="2"/>
      </rPr>
      <t xml:space="preserve">para respaldar   el aumento a las pensiones concedido en septiembre de 2011, según  Ley 70 del 6-9-2011. </t>
    </r>
    <r>
      <rPr>
        <b/>
        <sz val="18"/>
        <rFont val="Arial"/>
        <family val="2"/>
      </rPr>
      <t>(Porción 2012).</t>
    </r>
  </si>
  <si>
    <t>LEY 70 (AUMENTO 2012)</t>
  </si>
  <si>
    <r>
      <t xml:space="preserve">Aumento pactado por el Gobierno Nacional (Sept-2011),  </t>
    </r>
    <r>
      <rPr>
        <sz val="18"/>
        <rFont val="Arial"/>
        <family val="2"/>
      </rPr>
      <t xml:space="preserve">para respaldar   el aumento a las pensiones concedido en septiembre de 2011, según  Ley 70 del  6-9-2011. </t>
    </r>
    <r>
      <rPr>
        <b/>
        <sz val="18"/>
        <rFont val="Arial"/>
        <family val="2"/>
      </rPr>
      <t>(Porción 2013).</t>
    </r>
  </si>
  <si>
    <t>LEY 70 (AUMENTO 2013)</t>
  </si>
  <si>
    <r>
      <t xml:space="preserve">Aumento pactado por el Gobieno Nacional (Sept-2011) </t>
    </r>
    <r>
      <rPr>
        <sz val="18"/>
        <rFont val="Arial"/>
        <family val="2"/>
      </rPr>
      <t>Elevación de las</t>
    </r>
    <r>
      <rPr>
        <b/>
        <sz val="18"/>
        <rFont val="Arial"/>
        <family val="2"/>
      </rPr>
      <t xml:space="preserve"> Pensiones Minimas</t>
    </r>
    <r>
      <rPr>
        <sz val="18"/>
        <rFont val="Arial"/>
        <family val="2"/>
      </rPr>
      <t xml:space="preserve"> concedidas según lo dispuesto en el Artículo N°1 de la Ley 70.</t>
    </r>
  </si>
  <si>
    <t>Aumento a las pensiones concedido en Abril de 2015,  según  Ley 27 del 4-5-2015.</t>
  </si>
  <si>
    <r>
      <t xml:space="preserve">Pensión Vitalicia - Afectados por el Dietilenglicol Ley N°80 de 20-3-2019 que modifica la </t>
    </r>
    <r>
      <rPr>
        <sz val="18"/>
        <rFont val="Arial"/>
        <family val="2"/>
      </rPr>
      <t>Ley 20 de 26-3-2013.</t>
    </r>
  </si>
  <si>
    <r>
      <t>Aumento otorgado a las   Pensiones de Viudez.</t>
    </r>
    <r>
      <rPr>
        <sz val="18"/>
        <rFont val="Arial"/>
        <family val="2"/>
      </rPr>
      <t xml:space="preserve"> Decreto de Gabinete No.33 del 25-11-2014.</t>
    </r>
  </si>
  <si>
    <r>
      <rPr>
        <b/>
        <sz val="18"/>
        <rFont val="Arial"/>
        <family val="2"/>
      </rPr>
      <t>Pensión Vitalicia Especial, para las  Víctimas de Intoxicación Aguda por Heparina con Alcohol Bencílico</t>
    </r>
    <r>
      <rPr>
        <sz val="18"/>
        <rFont val="Arial"/>
        <family val="2"/>
      </rPr>
      <t>. Ley 64 del 22-10-2015.</t>
    </r>
  </si>
  <si>
    <r>
      <t>Pensiones vitalicias y apoyo económico a víctimas afectadas en la Provincia de Bocas del Toro,</t>
    </r>
    <r>
      <rPr>
        <b/>
        <sz val="18"/>
        <rFont val="Arial"/>
        <family val="2"/>
      </rPr>
      <t xml:space="preserve"> Ley 86 del 20 de mayo de 2019 que modifica la Ley 28 de 4 de mayo de 2015.</t>
    </r>
  </si>
  <si>
    <r>
      <rPr>
        <b/>
        <sz val="18"/>
        <rFont val="Arial"/>
        <family val="2"/>
      </rPr>
      <t xml:space="preserve">Bono adicional de B/100.00 </t>
    </r>
    <r>
      <rPr>
        <sz val="18"/>
        <rFont val="Arial"/>
        <family val="2"/>
      </rPr>
      <t>otorgado en diciembre. Art. N°3, Ley 70 del 6-9-2011.</t>
    </r>
  </si>
  <si>
    <r>
      <rPr>
        <b/>
        <sz val="18"/>
        <rFont val="Arial"/>
        <family val="2"/>
      </rPr>
      <t>Bono Extraordinario, Único y Uniforme de B/100.00</t>
    </r>
    <r>
      <rPr>
        <sz val="18"/>
        <rFont val="Arial"/>
        <family val="2"/>
      </rPr>
      <t xml:space="preserve"> otorgado a pensionados  y jubilados,  Mediante Ley N°89  de 28-6-2019.</t>
    </r>
  </si>
  <si>
    <r>
      <t xml:space="preserve">Bono adicional de B/60.00 </t>
    </r>
    <r>
      <rPr>
        <sz val="18"/>
        <rFont val="Arial"/>
        <family val="2"/>
      </rPr>
      <t>otorgado en diciembre a Pensionados del PRAA. Decreto de Gabinete No.36 de 6-12-2011</t>
    </r>
    <r>
      <rPr>
        <sz val="11"/>
        <color theme="1"/>
        <rFont val="Calibri"/>
        <family val="2"/>
        <scheme val="minor"/>
      </rPr>
      <t/>
    </r>
  </si>
  <si>
    <t>Pago de prestaciones económicas a los trabajadores de Empresas Bananeras, reconocido mediante Ley 45 de 16 de junio de 2017.</t>
  </si>
  <si>
    <t>FIDEICOMISO</t>
  </si>
  <si>
    <t>Reembolso del Costo de Planillas de Prestaciones del Fondo Complementario</t>
  </si>
  <si>
    <t>3.-INTERÉS POR MORA</t>
  </si>
  <si>
    <t xml:space="preserve">Planilla de Fondo Complementario </t>
  </si>
  <si>
    <r>
      <t xml:space="preserve">Aumento de Pensiones del 2007. </t>
    </r>
    <r>
      <rPr>
        <sz val="18"/>
        <rFont val="Arial"/>
        <family val="2"/>
      </rPr>
      <t>Dec. de Gab. No.51 de 21-12-2006.</t>
    </r>
  </si>
  <si>
    <r>
      <t xml:space="preserve">Aumento de Pensiones del 2009. </t>
    </r>
    <r>
      <rPr>
        <sz val="18"/>
        <rFont val="Arial"/>
        <family val="2"/>
      </rPr>
      <t xml:space="preserve">Ley 22 de 13-4-2009. </t>
    </r>
  </si>
  <si>
    <r>
      <t xml:space="preserve">Aumento de Pensiones del 2011,  </t>
    </r>
    <r>
      <rPr>
        <sz val="18"/>
        <rFont val="Arial"/>
        <family val="2"/>
      </rPr>
      <t xml:space="preserve">Ley 70 del 6-9-2011. </t>
    </r>
  </si>
  <si>
    <r>
      <t xml:space="preserve">Aumento de Pensiones Minimas, </t>
    </r>
    <r>
      <rPr>
        <sz val="18"/>
        <rFont val="Arial"/>
        <family val="2"/>
      </rPr>
      <t>Artículo N°1, Ley 70.</t>
    </r>
  </si>
  <si>
    <r>
      <t xml:space="preserve">Aumento de Pensiones del 2015. </t>
    </r>
    <r>
      <rPr>
        <sz val="18"/>
        <color indexed="8"/>
        <rFont val="Arial"/>
        <family val="2"/>
      </rPr>
      <t xml:space="preserve">Ley  27 de 4-5-2015 </t>
    </r>
  </si>
  <si>
    <r>
      <t xml:space="preserve">Aumento de Pensiones de Viudez. </t>
    </r>
    <r>
      <rPr>
        <sz val="18"/>
        <rFont val="Arial"/>
        <family val="2"/>
      </rPr>
      <t xml:space="preserve">Decreto de Gab. No.33 del 25-11-2014.  </t>
    </r>
  </si>
  <si>
    <r>
      <t>Bono adicional de B/100.00</t>
    </r>
    <r>
      <rPr>
        <sz val="18"/>
        <rFont val="Arial"/>
        <family val="2"/>
      </rPr>
      <t xml:space="preserve"> </t>
    </r>
    <r>
      <rPr>
        <b/>
        <sz val="18"/>
        <rFont val="Arial"/>
        <family val="2"/>
      </rPr>
      <t>otorgado en diciembre.</t>
    </r>
    <r>
      <rPr>
        <sz val="18"/>
        <rFont val="Arial"/>
        <family val="2"/>
      </rPr>
      <t xml:space="preserve"> Art. N°3, Ley 70.</t>
    </r>
  </si>
  <si>
    <r>
      <t xml:space="preserve">Pensión Vitalicia, Afectados por el Dietilenglicol, </t>
    </r>
    <r>
      <rPr>
        <sz val="18"/>
        <rFont val="Arial"/>
        <family val="2"/>
      </rPr>
      <t>Ley 20 de 26-3-13.</t>
    </r>
  </si>
  <si>
    <r>
      <t xml:space="preserve">Pensión Vitalicia, afectados en Bocas del Toro. </t>
    </r>
    <r>
      <rPr>
        <sz val="18"/>
        <rFont val="Arial"/>
        <family val="2"/>
      </rPr>
      <t>Ley 28 del 4-5-2015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</si>
  <si>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</si>
  <si>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Reembolso para el pago de prestaciones económicas a  trabajadores de Empresas Bananeras. Ley  45 de 16 de junio de 2017.</t>
  </si>
  <si>
    <t>Pago a la Junta Técnica Actuarial</t>
  </si>
  <si>
    <t xml:space="preserve"> Aporte del Estado para hacerle frente al aumento de B/.5.00 a Pensionados y Jubilados.</t>
  </si>
  <si>
    <t>Aporte para la Atención en Salud destinada al Riesgo de Enfermedad y Maternidad.</t>
  </si>
  <si>
    <t>Aporte para compensar las fluctuaciones o posible disminución de la tasa de interés de las inversiones que mantenga la CSS en Valores del Estado.</t>
  </si>
  <si>
    <t>Revisado por :</t>
  </si>
  <si>
    <t xml:space="preserve">                                                         Licda. Zuleika Guevara</t>
  </si>
  <si>
    <t>Licda. Marlina Díaz</t>
  </si>
  <si>
    <t>Licda. Apolonio de la Rosa</t>
  </si>
  <si>
    <t xml:space="preserve">                                                         Analista Financiera I</t>
  </si>
  <si>
    <t xml:space="preserve">   Analista Financiera I</t>
  </si>
  <si>
    <t>Analista Financiero II</t>
  </si>
  <si>
    <t xml:space="preserve">                                                         Fecha: 06-09-2023</t>
  </si>
  <si>
    <t>Analista Financiera I</t>
  </si>
  <si>
    <t>Fecha: 01-06-2023</t>
  </si>
  <si>
    <t>Fecha: 06-09-2023</t>
  </si>
  <si>
    <t>Preparado: Dir. Nacional de Finanzas</t>
  </si>
  <si>
    <t xml:space="preserve">   diciembre de 2023</t>
  </si>
  <si>
    <t xml:space="preserve">En el mes de mayo de 2024 se presentó Gestiones de Cobro en el Ministerio de Salud por la suma de B/.140 millones, correspondientes al Aporte para  la Sostenibilidad del Regimén de IVM del año 2024.  </t>
  </si>
  <si>
    <t xml:space="preserve"> 4to.  Trimestre de 2021, 4to. Trimestre de 2023, 2do. Trimestre de 2024</t>
  </si>
  <si>
    <t xml:space="preserve"> 4to Trimestre de 2021,  4to. Trimestre de 2023, 2do. Trimestre de 2024</t>
  </si>
  <si>
    <t>junio 2017 a diciembre de 2019, enero a diciembre de 2020, agosto a diciembre de 2022, septiembre a diciembre de 2023, febrero a abril de 2024</t>
  </si>
  <si>
    <t>abril a junio de 2024</t>
  </si>
  <si>
    <t xml:space="preserve"> noviembre de 2019, junio de 2024</t>
  </si>
  <si>
    <t>HASTA EL 31 DE AGOSTO DE 2024</t>
  </si>
  <si>
    <t xml:space="preserve"> noviembre de 2019,  junio de 2024</t>
  </si>
  <si>
    <t>noviembre de 2019, agosto de 2021, junio de 2024</t>
  </si>
  <si>
    <t xml:space="preserve"> noviembre y diciembre de 2020, octubre a diciembre de 2023, abril a julio de 2024</t>
  </si>
  <si>
    <t xml:space="preserve"> noviembre y diciembre 2020, mayo a diciembre de 2023, abril a julio de 2024</t>
  </si>
  <si>
    <t xml:space="preserve"> diciembre 2022, octubre de 2023, abril a agosto de 2024</t>
  </si>
  <si>
    <t xml:space="preserve"> diciembre de 2021, agosto de 2024</t>
  </si>
  <si>
    <t xml:space="preserve"> Diferencia de diciembre de 2020,  diciembre de 2021, diciembre de 2023, junio a agosto de 2024.</t>
  </si>
  <si>
    <t>enero a junio de 2024</t>
  </si>
  <si>
    <t xml:space="preserve"> noviembre de 2019, enero a diciembre de 2022 y enero a octubre de 2023, abril a junio de 2024</t>
  </si>
  <si>
    <t xml:space="preserve"> noviembre de 2019, abril a junio de 2024</t>
  </si>
  <si>
    <t xml:space="preserve"> noviembre de 2019 y enero a octubre de 2023, abril a junio de 2024</t>
  </si>
  <si>
    <t xml:space="preserve"> noviembre de 2019,  junio y julio de 2024</t>
  </si>
  <si>
    <t xml:space="preserve"> noviembre de 2019, junio y julio  de 2024</t>
  </si>
  <si>
    <t>junio y julio de 2024</t>
  </si>
  <si>
    <t>agosto a diciembre de 2020, enero a agosto de 2021, octubre de 2022, junio y julio de 2024</t>
  </si>
  <si>
    <t>noviembre de 2019, abril a agosto de 2021, junio  y julio de 2024</t>
  </si>
  <si>
    <t>noviembre de 2019, junio y julio  de 2024</t>
  </si>
  <si>
    <t>mayo  a julio de 2024</t>
  </si>
  <si>
    <t>abril a julio de 2024</t>
  </si>
  <si>
    <t>diciembre de 2020, diciembre de 2022, marzo, mayo a julio  de 2024</t>
  </si>
  <si>
    <t xml:space="preserve"> diciembre de 2022, marzo a julio de 2024</t>
  </si>
  <si>
    <t xml:space="preserve">  mayo a julio de 2024</t>
  </si>
  <si>
    <t xml:space="preserve"> marzo  y julio de 2024</t>
  </si>
  <si>
    <t xml:space="preserve"> diciembre de 2021, julio de 2024</t>
  </si>
  <si>
    <t xml:space="preserve">   noviembre y diciembre de 2021, mayo a julio  de 2024</t>
  </si>
  <si>
    <t xml:space="preserve"> marzo, mayo a julio  de 2024</t>
  </si>
  <si>
    <t>TOTAL                    (B/.)</t>
  </si>
  <si>
    <t>Fecha: 05-09-2024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</si>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</sst>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name val="Arial"/>
      <family val="2"/>
    </font>
    <font>
      <b/>
      <sz val="18"/>
      <name val="Trebuchet MS"/>
      <family val="2"/>
    </font>
    <font>
      <b/>
      <sz val="20"/>
      <name val="Arial"/>
      <family val="2"/>
    </font>
    <font>
      <sz val="20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sz val="10"/>
      <name val="Times New Roman"/>
      <family val="1"/>
    </font>
    <font>
      <sz val="18"/>
      <name val="Trebuchet MS"/>
      <family val="2"/>
    </font>
    <font>
      <b/>
      <sz val="18"/>
      <name val="Arial Narrow"/>
      <family val="2"/>
    </font>
    <font>
      <b/>
      <sz val="18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18"/>
      <color rgb="FFFF0000"/>
      <name val="Arial"/>
      <family val="2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indexed="8"/>
      <name val="Arial"/>
      <family val="2"/>
    </font>
    <font>
      <sz val="22"/>
      <name val="Arial"/>
      <family val="2"/>
    </font>
    <font>
      <b/>
      <sz val="20"/>
      <color indexed="81"/>
      <name val="Tahoma"/>
      <family val="2"/>
    </font>
    <font>
      <sz val="20"/>
      <color indexed="81"/>
      <name val="Tahoma"/>
      <family val="2"/>
    </font>
    <font>
      <b/>
      <sz val="36"/>
      <color indexed="81"/>
      <name val="Tahoma"/>
      <family val="2"/>
    </font>
    <font>
      <sz val="36"/>
      <color indexed="81"/>
      <name val="Tahoma"/>
      <family val="2"/>
    </font>
    <font>
      <b/>
      <sz val="28"/>
      <color indexed="81"/>
      <name val="Tahoma"/>
      <family val="2"/>
    </font>
    <font>
      <sz val="28"/>
      <color indexed="81"/>
      <name val="Tahoma"/>
      <family val="2"/>
    </font>
    <font>
      <b/>
      <sz val="22"/>
      <color indexed="81"/>
      <name val="Tahoma"/>
      <family val="2"/>
    </font>
    <font>
      <sz val="22"/>
      <color indexed="81"/>
      <name val="Tahoma"/>
      <family val="2"/>
    </font>
    <font>
      <b/>
      <sz val="24"/>
      <color indexed="81"/>
      <name val="Tahoma"/>
      <family val="2"/>
    </font>
    <font>
      <sz val="24"/>
      <color indexed="81"/>
      <name val="Tahoma"/>
      <family val="2"/>
    </font>
    <font>
      <b/>
      <sz val="26"/>
      <color indexed="81"/>
      <name val="Tahoma"/>
      <family val="2"/>
    </font>
    <font>
      <sz val="26"/>
      <color indexed="81"/>
      <name val="Tahoma"/>
      <family val="2"/>
    </font>
    <font>
      <sz val="9"/>
      <color indexed="81"/>
      <name val="Tahoma"/>
      <family val="2"/>
    </font>
    <font>
      <b/>
      <sz val="18"/>
      <color indexed="81"/>
      <name val="Tahoma"/>
      <family val="2"/>
    </font>
    <font>
      <sz val="18"/>
      <color indexed="81"/>
      <name val="Tahoma"/>
      <family val="2"/>
    </font>
    <font>
      <b/>
      <sz val="16"/>
      <color indexed="81"/>
      <name val="Tahoma"/>
      <family val="2"/>
    </font>
    <font>
      <sz val="16"/>
      <color indexed="81"/>
      <name val="Tahoma"/>
      <family val="2"/>
    </font>
    <font>
      <b/>
      <sz val="26"/>
      <color indexed="81"/>
      <name val="Arial"/>
      <family val="2"/>
    </font>
    <font>
      <sz val="26"/>
      <color indexed="81"/>
      <name val="Arial"/>
      <family val="2"/>
    </font>
    <font>
      <b/>
      <sz val="9"/>
      <color indexed="81"/>
      <name val="Tahoma"/>
      <family val="2"/>
    </font>
    <font>
      <b/>
      <sz val="20"/>
      <color indexed="81"/>
      <name val="Arial"/>
      <family val="2"/>
    </font>
    <font>
      <sz val="20"/>
      <color indexed="81"/>
      <name val="Arial"/>
      <family val="2"/>
    </font>
    <font>
      <sz val="9"/>
      <color indexed="81"/>
      <name val="Arial"/>
      <family val="2"/>
    </font>
    <font>
      <b/>
      <sz val="14"/>
      <color indexed="81"/>
      <name val="Tahoma"/>
      <family val="2"/>
    </font>
    <font>
      <sz val="14"/>
      <name val="Arial"/>
      <family val="2"/>
    </font>
    <font>
      <sz val="22"/>
      <color indexed="8"/>
      <name val="Arial"/>
      <family val="2"/>
    </font>
    <font>
      <sz val="22"/>
      <color theme="1"/>
      <name val="Calibri"/>
      <family val="2"/>
      <scheme val="minor"/>
    </font>
    <font>
      <b/>
      <sz val="22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0" fillId="0" borderId="0"/>
    <xf numFmtId="164" fontId="1" fillId="0" borderId="0" applyFont="0" applyFill="0" applyBorder="0" applyAlignment="0" applyProtection="0"/>
  </cellStyleXfs>
  <cellXfs count="376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3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3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  <xf numFmtId="3" fontId="6" fillId="0" borderId="6" xfId="1" applyNumberFormat="1" applyFont="1" applyBorder="1" applyAlignment="1">
      <alignment horizontal="right" vertical="center" wrapText="1"/>
    </xf>
    <xf numFmtId="3" fontId="6" fillId="0" borderId="13" xfId="1" applyNumberFormat="1" applyFont="1" applyBorder="1" applyAlignment="1">
      <alignment horizontal="right" vertical="center" wrapText="1"/>
    </xf>
    <xf numFmtId="3" fontId="6" fillId="0" borderId="14" xfId="1" applyNumberFormat="1" applyFont="1" applyBorder="1" applyAlignment="1">
      <alignment horizontal="right" vertical="center" wrapText="1"/>
    </xf>
    <xf numFmtId="3" fontId="6" fillId="0" borderId="15" xfId="1" applyNumberFormat="1" applyFont="1" applyBorder="1" applyAlignment="1">
      <alignment horizontal="right" vertical="center" wrapText="1"/>
    </xf>
    <xf numFmtId="3" fontId="6" fillId="0" borderId="16" xfId="1" applyNumberFormat="1" applyFont="1" applyBorder="1" applyAlignment="1">
      <alignment horizontal="right" vertical="center" wrapText="1"/>
    </xf>
    <xf numFmtId="3" fontId="6" fillId="0" borderId="17" xfId="1" applyNumberFormat="1" applyFont="1" applyBorder="1" applyAlignment="1">
      <alignment horizontal="right" vertical="center" wrapText="1"/>
    </xf>
    <xf numFmtId="3" fontId="6" fillId="0" borderId="18" xfId="1" applyNumberFormat="1" applyFont="1" applyBorder="1" applyAlignment="1">
      <alignment horizontal="right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2" borderId="0" xfId="1" applyFont="1" applyFill="1" applyAlignment="1">
      <alignment vertical="center"/>
    </xf>
    <xf numFmtId="4" fontId="7" fillId="2" borderId="19" xfId="1" applyNumberFormat="1" applyFont="1" applyFill="1" applyBorder="1" applyAlignment="1">
      <alignment horizontal="right" vertical="center"/>
    </xf>
    <xf numFmtId="4" fontId="7" fillId="2" borderId="20" xfId="1" applyNumberFormat="1" applyFont="1" applyFill="1" applyBorder="1" applyAlignment="1">
      <alignment vertical="center"/>
    </xf>
    <xf numFmtId="4" fontId="7" fillId="2" borderId="8" xfId="1" applyNumberFormat="1" applyFont="1" applyFill="1" applyBorder="1" applyAlignment="1">
      <alignment vertical="center"/>
    </xf>
    <xf numFmtId="4" fontId="7" fillId="2" borderId="21" xfId="1" applyNumberFormat="1" applyFont="1" applyFill="1" applyBorder="1" applyAlignment="1">
      <alignment vertical="center"/>
    </xf>
    <xf numFmtId="4" fontId="7" fillId="2" borderId="19" xfId="1" applyNumberFormat="1" applyFont="1" applyFill="1" applyBorder="1" applyAlignment="1">
      <alignment vertical="center"/>
    </xf>
    <xf numFmtId="4" fontId="7" fillId="2" borderId="22" xfId="1" applyNumberFormat="1" applyFont="1" applyFill="1" applyBorder="1" applyAlignment="1">
      <alignment vertical="center"/>
    </xf>
    <xf numFmtId="4" fontId="7" fillId="2" borderId="23" xfId="1" applyNumberFormat="1" applyFont="1" applyFill="1" applyBorder="1" applyAlignment="1">
      <alignment vertical="center"/>
    </xf>
    <xf numFmtId="3" fontId="2" fillId="0" borderId="10" xfId="1" applyNumberFormat="1" applyFont="1" applyBorder="1"/>
    <xf numFmtId="4" fontId="6" fillId="0" borderId="25" xfId="1" applyNumberFormat="1" applyFont="1" applyBorder="1" applyAlignment="1">
      <alignment horizontal="right"/>
    </xf>
    <xf numFmtId="4" fontId="6" fillId="0" borderId="25" xfId="1" applyNumberFormat="1" applyFont="1" applyBorder="1" applyAlignment="1">
      <alignment horizontal="center"/>
    </xf>
    <xf numFmtId="4" fontId="6" fillId="0" borderId="26" xfId="1" applyNumberFormat="1" applyFont="1" applyBorder="1"/>
    <xf numFmtId="4" fontId="6" fillId="0" borderId="24" xfId="1" applyNumberFormat="1" applyFont="1" applyBorder="1"/>
    <xf numFmtId="4" fontId="6" fillId="0" borderId="27" xfId="1" applyNumberFormat="1" applyFont="1" applyBorder="1"/>
    <xf numFmtId="4" fontId="6" fillId="0" borderId="28" xfId="1" applyNumberFormat="1" applyFont="1" applyBorder="1"/>
    <xf numFmtId="4" fontId="6" fillId="0" borderId="29" xfId="1" applyNumberFormat="1" applyFont="1" applyBorder="1"/>
    <xf numFmtId="4" fontId="6" fillId="0" borderId="25" xfId="1" applyNumberFormat="1" applyFont="1" applyBorder="1"/>
    <xf numFmtId="4" fontId="6" fillId="0" borderId="30" xfId="1" applyNumberFormat="1" applyFont="1" applyBorder="1"/>
    <xf numFmtId="4" fontId="6" fillId="0" borderId="31" xfId="1" applyNumberFormat="1" applyFont="1" applyBorder="1"/>
    <xf numFmtId="4" fontId="6" fillId="0" borderId="32" xfId="1" applyNumberFormat="1" applyFont="1" applyBorder="1"/>
    <xf numFmtId="4" fontId="6" fillId="0" borderId="33" xfId="1" applyNumberFormat="1" applyFont="1" applyBorder="1"/>
    <xf numFmtId="3" fontId="2" fillId="0" borderId="34" xfId="1" applyNumberFormat="1" applyFont="1" applyBorder="1"/>
    <xf numFmtId="4" fontId="7" fillId="5" borderId="34" xfId="1" applyNumberFormat="1" applyFont="1" applyFill="1" applyBorder="1" applyAlignment="1">
      <alignment horizontal="right" vertical="center"/>
    </xf>
    <xf numFmtId="4" fontId="7" fillId="5" borderId="28" xfId="1" applyNumberFormat="1" applyFont="1" applyFill="1" applyBorder="1" applyAlignment="1">
      <alignment horizontal="right" vertical="center"/>
    </xf>
    <xf numFmtId="3" fontId="2" fillId="0" borderId="34" xfId="1" applyNumberFormat="1" applyFont="1" applyBorder="1" applyAlignment="1">
      <alignment horizontal="center"/>
    </xf>
    <xf numFmtId="4" fontId="7" fillId="6" borderId="34" xfId="1" applyNumberFormat="1" applyFont="1" applyFill="1" applyBorder="1" applyAlignment="1">
      <alignment horizontal="right" vertical="center"/>
    </xf>
    <xf numFmtId="4" fontId="7" fillId="6" borderId="28" xfId="1" applyNumberFormat="1" applyFont="1" applyFill="1" applyBorder="1" applyAlignment="1">
      <alignment horizontal="right" vertical="center"/>
    </xf>
    <xf numFmtId="4" fontId="7" fillId="6" borderId="27" xfId="1" applyNumberFormat="1" applyFont="1" applyFill="1" applyBorder="1" applyAlignment="1">
      <alignment horizontal="right" vertical="center"/>
    </xf>
    <xf numFmtId="4" fontId="7" fillId="6" borderId="29" xfId="1" applyNumberFormat="1" applyFont="1" applyFill="1" applyBorder="1" applyAlignment="1">
      <alignment horizontal="right" vertical="center"/>
    </xf>
    <xf numFmtId="4" fontId="7" fillId="6" borderId="32" xfId="1" applyNumberFormat="1" applyFont="1" applyFill="1" applyBorder="1" applyAlignment="1">
      <alignment horizontal="right" vertical="center"/>
    </xf>
    <xf numFmtId="4" fontId="7" fillId="6" borderId="36" xfId="1" applyNumberFormat="1" applyFont="1" applyFill="1" applyBorder="1" applyAlignment="1">
      <alignment horizontal="right" vertical="center"/>
    </xf>
    <xf numFmtId="3" fontId="2" fillId="3" borderId="34" xfId="1" applyNumberFormat="1" applyFont="1" applyFill="1" applyBorder="1"/>
    <xf numFmtId="0" fontId="2" fillId="3" borderId="0" xfId="1" applyFont="1" applyFill="1"/>
    <xf numFmtId="4" fontId="6" fillId="3" borderId="34" xfId="1" applyNumberFormat="1" applyFont="1" applyFill="1" applyBorder="1" applyAlignment="1">
      <alignment horizontal="right" vertical="center" wrapText="1"/>
    </xf>
    <xf numFmtId="4" fontId="6" fillId="3" borderId="28" xfId="1" applyNumberFormat="1" applyFont="1" applyFill="1" applyBorder="1" applyAlignment="1">
      <alignment horizontal="right" vertical="center" wrapText="1"/>
    </xf>
    <xf numFmtId="4" fontId="6" fillId="3" borderId="27" xfId="1" applyNumberFormat="1" applyFont="1" applyFill="1" applyBorder="1" applyAlignment="1">
      <alignment horizontal="right" vertical="center" wrapText="1"/>
    </xf>
    <xf numFmtId="4" fontId="6" fillId="3" borderId="29" xfId="1" applyNumberFormat="1" applyFont="1" applyFill="1" applyBorder="1" applyAlignment="1">
      <alignment horizontal="right" vertical="center" wrapText="1"/>
    </xf>
    <xf numFmtId="4" fontId="8" fillId="0" borderId="34" xfId="1" applyNumberFormat="1" applyFont="1" applyBorder="1" applyAlignment="1">
      <alignment horizontal="right" vertical="center" wrapText="1"/>
    </xf>
    <xf numFmtId="4" fontId="9" fillId="3" borderId="28" xfId="1" applyNumberFormat="1" applyFont="1" applyFill="1" applyBorder="1" applyAlignment="1">
      <alignment horizontal="right" vertical="center" wrapText="1"/>
    </xf>
    <xf numFmtId="4" fontId="9" fillId="3" borderId="27" xfId="1" applyNumberFormat="1" applyFont="1" applyFill="1" applyBorder="1" applyAlignment="1">
      <alignment horizontal="right" vertical="center" wrapText="1"/>
    </xf>
    <xf numFmtId="4" fontId="6" fillId="0" borderId="27" xfId="1" applyNumberFormat="1" applyFont="1" applyBorder="1" applyAlignment="1">
      <alignment horizontal="right" vertical="center" wrapText="1"/>
    </xf>
    <xf numFmtId="4" fontId="8" fillId="0" borderId="27" xfId="1" applyNumberFormat="1" applyFont="1" applyBorder="1" applyAlignment="1">
      <alignment horizontal="right" vertical="center" wrapText="1"/>
    </xf>
    <xf numFmtId="4" fontId="8" fillId="3" borderId="27" xfId="1" applyNumberFormat="1" applyFont="1" applyFill="1" applyBorder="1" applyAlignment="1">
      <alignment horizontal="right" vertical="center" wrapText="1"/>
    </xf>
    <xf numFmtId="4" fontId="9" fillId="0" borderId="34" xfId="1" applyNumberFormat="1" applyFont="1" applyBorder="1" applyAlignment="1">
      <alignment horizontal="right" vertical="center" wrapText="1"/>
    </xf>
    <xf numFmtId="4" fontId="8" fillId="0" borderId="28" xfId="1" applyNumberFormat="1" applyFont="1" applyBorder="1" applyAlignment="1">
      <alignment horizontal="right" vertical="center" wrapText="1"/>
    </xf>
    <xf numFmtId="4" fontId="2" fillId="0" borderId="27" xfId="1" applyNumberFormat="1" applyFont="1" applyBorder="1" applyAlignment="1">
      <alignment horizontal="right" vertical="center" wrapText="1"/>
    </xf>
    <xf numFmtId="3" fontId="11" fillId="3" borderId="34" xfId="2" applyNumberFormat="1" applyFont="1" applyFill="1" applyBorder="1" applyAlignment="1">
      <alignment horizontal="center" vertical="center" wrapText="1"/>
    </xf>
    <xf numFmtId="4" fontId="8" fillId="3" borderId="34" xfId="1" applyNumberFormat="1" applyFont="1" applyFill="1" applyBorder="1" applyAlignment="1">
      <alignment horizontal="right" vertical="center" wrapText="1"/>
    </xf>
    <xf numFmtId="4" fontId="2" fillId="3" borderId="28" xfId="1" applyNumberFormat="1" applyFont="1" applyFill="1" applyBorder="1" applyAlignment="1">
      <alignment horizontal="right" vertical="center" wrapText="1"/>
    </xf>
    <xf numFmtId="4" fontId="2" fillId="0" borderId="32" xfId="1" applyNumberFormat="1" applyFont="1" applyBorder="1" applyAlignment="1">
      <alignment horizontal="right" vertical="center" wrapText="1"/>
    </xf>
    <xf numFmtId="4" fontId="8" fillId="0" borderId="36" xfId="1" applyNumberFormat="1" applyFont="1" applyBorder="1" applyAlignment="1">
      <alignment horizontal="right" vertical="center" wrapText="1"/>
    </xf>
    <xf numFmtId="4" fontId="2" fillId="3" borderId="27" xfId="1" applyNumberFormat="1" applyFont="1" applyFill="1" applyBorder="1" applyAlignment="1">
      <alignment horizontal="right" vertical="center" wrapText="1"/>
    </xf>
    <xf numFmtId="4" fontId="2" fillId="0" borderId="29" xfId="1" applyNumberFormat="1" applyFont="1" applyBorder="1" applyAlignment="1">
      <alignment horizontal="right" vertical="center" wrapText="1"/>
    </xf>
    <xf numFmtId="4" fontId="9" fillId="3" borderId="34" xfId="1" applyNumberFormat="1" applyFont="1" applyFill="1" applyBorder="1" applyAlignment="1">
      <alignment horizontal="right" vertical="center" wrapText="1"/>
    </xf>
    <xf numFmtId="4" fontId="7" fillId="6" borderId="34" xfId="1" applyNumberFormat="1" applyFont="1" applyFill="1" applyBorder="1" applyAlignment="1">
      <alignment horizontal="right" vertical="center" wrapText="1"/>
    </xf>
    <xf numFmtId="4" fontId="7" fillId="6" borderId="28" xfId="1" applyNumberFormat="1" applyFont="1" applyFill="1" applyBorder="1" applyAlignment="1">
      <alignment horizontal="right" vertical="center" wrapText="1"/>
    </xf>
    <xf numFmtId="4" fontId="7" fillId="6" borderId="27" xfId="1" applyNumberFormat="1" applyFont="1" applyFill="1" applyBorder="1" applyAlignment="1">
      <alignment horizontal="right" vertical="center" wrapText="1"/>
    </xf>
    <xf numFmtId="4" fontId="7" fillId="6" borderId="29" xfId="1" applyNumberFormat="1" applyFont="1" applyFill="1" applyBorder="1" applyAlignment="1">
      <alignment horizontal="right" vertical="center" wrapText="1"/>
    </xf>
    <xf numFmtId="4" fontId="7" fillId="6" borderId="32" xfId="1" applyNumberFormat="1" applyFont="1" applyFill="1" applyBorder="1" applyAlignment="1">
      <alignment horizontal="right" vertical="center" wrapText="1"/>
    </xf>
    <xf numFmtId="4" fontId="7" fillId="6" borderId="36" xfId="1" applyNumberFormat="1" applyFont="1" applyFill="1" applyBorder="1" applyAlignment="1">
      <alignment horizontal="right" vertical="center" wrapText="1"/>
    </xf>
    <xf numFmtId="3" fontId="13" fillId="3" borderId="34" xfId="1" applyNumberFormat="1" applyFont="1" applyFill="1" applyBorder="1" applyAlignment="1">
      <alignment horizontal="center" vertical="center" wrapText="1"/>
    </xf>
    <xf numFmtId="4" fontId="9" fillId="0" borderId="27" xfId="1" applyNumberFormat="1" applyFont="1" applyBorder="1" applyAlignment="1">
      <alignment horizontal="right" vertical="center" wrapText="1"/>
    </xf>
    <xf numFmtId="4" fontId="2" fillId="0" borderId="28" xfId="1" applyNumberFormat="1" applyFont="1" applyBorder="1" applyAlignment="1">
      <alignment horizontal="right" vertical="center" wrapText="1"/>
    </xf>
    <xf numFmtId="4" fontId="2" fillId="0" borderId="31" xfId="1" applyNumberFormat="1" applyFont="1" applyBorder="1" applyAlignment="1">
      <alignment horizontal="right" vertical="center" wrapText="1"/>
    </xf>
    <xf numFmtId="4" fontId="6" fillId="3" borderId="36" xfId="1" applyNumberFormat="1" applyFont="1" applyFill="1" applyBorder="1" applyAlignment="1">
      <alignment horizontal="right" vertical="center" wrapText="1"/>
    </xf>
    <xf numFmtId="4" fontId="2" fillId="3" borderId="31" xfId="1" applyNumberFormat="1" applyFont="1" applyFill="1" applyBorder="1" applyAlignment="1">
      <alignment horizontal="right" vertical="center" wrapText="1"/>
    </xf>
    <xf numFmtId="4" fontId="6" fillId="0" borderId="34" xfId="1" applyNumberFormat="1" applyFont="1" applyBorder="1" applyAlignment="1">
      <alignment horizontal="right" vertical="center" wrapText="1"/>
    </xf>
    <xf numFmtId="3" fontId="11" fillId="0" borderId="34" xfId="2" applyNumberFormat="1" applyFont="1" applyBorder="1" applyAlignment="1">
      <alignment horizontal="center" vertical="center" wrapText="1"/>
    </xf>
    <xf numFmtId="4" fontId="7" fillId="0" borderId="28" xfId="1" applyNumberFormat="1" applyFont="1" applyBorder="1" applyAlignment="1">
      <alignment horizontal="right" vertical="center" wrapText="1"/>
    </xf>
    <xf numFmtId="4" fontId="2" fillId="3" borderId="34" xfId="1" applyNumberFormat="1" applyFont="1" applyFill="1" applyBorder="1" applyAlignment="1">
      <alignment horizontal="right" vertical="center" wrapText="1"/>
    </xf>
    <xf numFmtId="4" fontId="6" fillId="0" borderId="29" xfId="1" applyNumberFormat="1" applyFont="1" applyBorder="1" applyAlignment="1">
      <alignment horizontal="right" vertical="center" wrapText="1"/>
    </xf>
    <xf numFmtId="4" fontId="2" fillId="0" borderId="34" xfId="1" applyNumberFormat="1" applyFont="1" applyBorder="1" applyAlignment="1">
      <alignment horizontal="right" vertical="center" wrapText="1"/>
    </xf>
    <xf numFmtId="4" fontId="6" fillId="3" borderId="12" xfId="1" applyNumberFormat="1" applyFont="1" applyFill="1" applyBorder="1" applyAlignment="1">
      <alignment horizontal="right" vertical="center" wrapText="1"/>
    </xf>
    <xf numFmtId="4" fontId="6" fillId="3" borderId="39" xfId="1" applyNumberFormat="1" applyFont="1" applyFill="1" applyBorder="1" applyAlignment="1">
      <alignment horizontal="right" vertical="center" wrapText="1"/>
    </xf>
    <xf numFmtId="4" fontId="2" fillId="3" borderId="37" xfId="1" applyNumberFormat="1" applyFont="1" applyFill="1" applyBorder="1" applyAlignment="1">
      <alignment horizontal="right" vertical="center" wrapText="1"/>
    </xf>
    <xf numFmtId="4" fontId="6" fillId="3" borderId="37" xfId="1" applyNumberFormat="1" applyFont="1" applyFill="1" applyBorder="1" applyAlignment="1">
      <alignment horizontal="right" vertical="center" wrapText="1"/>
    </xf>
    <xf numFmtId="4" fontId="6" fillId="8" borderId="12" xfId="1" applyNumberFormat="1" applyFont="1" applyFill="1" applyBorder="1" applyAlignment="1">
      <alignment horizontal="right" vertical="center" wrapText="1"/>
    </xf>
    <xf numFmtId="4" fontId="6" fillId="7" borderId="39" xfId="1" applyNumberFormat="1" applyFont="1" applyFill="1" applyBorder="1" applyAlignment="1">
      <alignment horizontal="right" vertical="center" wrapText="1"/>
    </xf>
    <xf numFmtId="4" fontId="6" fillId="0" borderId="37" xfId="1" applyNumberFormat="1" applyFont="1" applyBorder="1" applyAlignment="1">
      <alignment horizontal="right" vertical="center" wrapText="1"/>
    </xf>
    <xf numFmtId="4" fontId="6" fillId="8" borderId="37" xfId="1" applyNumberFormat="1" applyFont="1" applyFill="1" applyBorder="1" applyAlignment="1">
      <alignment horizontal="right" vertical="center" wrapText="1"/>
    </xf>
    <xf numFmtId="4" fontId="6" fillId="7" borderId="37" xfId="1" applyNumberFormat="1" applyFont="1" applyFill="1" applyBorder="1" applyAlignment="1">
      <alignment horizontal="right" vertical="center" wrapText="1"/>
    </xf>
    <xf numFmtId="4" fontId="6" fillId="7" borderId="27" xfId="1" applyNumberFormat="1" applyFont="1" applyFill="1" applyBorder="1" applyAlignment="1">
      <alignment horizontal="right" vertical="center" wrapText="1"/>
    </xf>
    <xf numFmtId="4" fontId="6" fillId="7" borderId="28" xfId="1" applyNumberFormat="1" applyFont="1" applyFill="1" applyBorder="1" applyAlignment="1">
      <alignment horizontal="right" vertical="center" wrapText="1"/>
    </xf>
    <xf numFmtId="4" fontId="6" fillId="7" borderId="29" xfId="1" applyNumberFormat="1" applyFont="1" applyFill="1" applyBorder="1" applyAlignment="1">
      <alignment horizontal="right" vertical="center" wrapText="1"/>
    </xf>
    <xf numFmtId="4" fontId="6" fillId="9" borderId="12" xfId="1" applyNumberFormat="1" applyFont="1" applyFill="1" applyBorder="1" applyAlignment="1">
      <alignment horizontal="right" vertical="center" wrapText="1"/>
    </xf>
    <xf numFmtId="4" fontId="6" fillId="9" borderId="37" xfId="1" applyNumberFormat="1" applyFont="1" applyFill="1" applyBorder="1" applyAlignment="1">
      <alignment horizontal="right" vertical="center" wrapText="1"/>
    </xf>
    <xf numFmtId="4" fontId="6" fillId="9" borderId="40" xfId="1" applyNumberFormat="1" applyFont="1" applyFill="1" applyBorder="1" applyAlignment="1">
      <alignment horizontal="right" vertical="center" wrapText="1"/>
    </xf>
    <xf numFmtId="4" fontId="6" fillId="9" borderId="39" xfId="1" applyNumberFormat="1" applyFont="1" applyFill="1" applyBorder="1" applyAlignment="1">
      <alignment horizontal="right" vertical="center" wrapText="1"/>
    </xf>
    <xf numFmtId="4" fontId="6" fillId="7" borderId="31" xfId="1" applyNumberFormat="1" applyFont="1" applyFill="1" applyBorder="1" applyAlignment="1">
      <alignment horizontal="right" vertical="center" wrapText="1"/>
    </xf>
    <xf numFmtId="4" fontId="6" fillId="8" borderId="39" xfId="1" applyNumberFormat="1" applyFont="1" applyFill="1" applyBorder="1" applyAlignment="1">
      <alignment horizontal="right" vertical="center" wrapText="1"/>
    </xf>
    <xf numFmtId="4" fontId="6" fillId="7" borderId="41" xfId="1" applyNumberFormat="1" applyFont="1" applyFill="1" applyBorder="1" applyAlignment="1">
      <alignment horizontal="right" vertical="center" wrapText="1"/>
    </xf>
    <xf numFmtId="4" fontId="6" fillId="7" borderId="12" xfId="1" applyNumberFormat="1" applyFont="1" applyFill="1" applyBorder="1" applyAlignment="1">
      <alignment horizontal="right" vertical="center" wrapText="1"/>
    </xf>
    <xf numFmtId="4" fontId="6" fillId="7" borderId="38" xfId="1" applyNumberFormat="1" applyFont="1" applyFill="1" applyBorder="1" applyAlignment="1">
      <alignment horizontal="right" vertical="center" wrapText="1"/>
    </xf>
    <xf numFmtId="0" fontId="2" fillId="8" borderId="42" xfId="1" applyFont="1" applyFill="1" applyBorder="1"/>
    <xf numFmtId="4" fontId="7" fillId="5" borderId="44" xfId="1" applyNumberFormat="1" applyFont="1" applyFill="1" applyBorder="1" applyAlignment="1">
      <alignment horizontal="right" vertical="center" wrapText="1"/>
    </xf>
    <xf numFmtId="4" fontId="7" fillId="5" borderId="45" xfId="1" applyNumberFormat="1" applyFont="1" applyFill="1" applyBorder="1" applyAlignment="1">
      <alignment horizontal="right" vertical="center" wrapText="1"/>
    </xf>
    <xf numFmtId="4" fontId="7" fillId="5" borderId="43" xfId="1" applyNumberFormat="1" applyFont="1" applyFill="1" applyBorder="1" applyAlignment="1">
      <alignment horizontal="right" vertical="center" wrapText="1"/>
    </xf>
    <xf numFmtId="4" fontId="7" fillId="5" borderId="7" xfId="1" applyNumberFormat="1" applyFont="1" applyFill="1" applyBorder="1" applyAlignment="1">
      <alignment horizontal="right" vertical="center" wrapText="1"/>
    </xf>
    <xf numFmtId="4" fontId="7" fillId="5" borderId="46" xfId="1" applyNumberFormat="1" applyFont="1" applyFill="1" applyBorder="1" applyAlignment="1">
      <alignment horizontal="right" vertical="center" wrapText="1"/>
    </xf>
    <xf numFmtId="4" fontId="7" fillId="5" borderId="47" xfId="1" applyNumberFormat="1" applyFont="1" applyFill="1" applyBorder="1" applyAlignment="1">
      <alignment horizontal="right" vertical="center" wrapText="1"/>
    </xf>
    <xf numFmtId="4" fontId="7" fillId="5" borderId="48" xfId="1" applyNumberFormat="1" applyFont="1" applyFill="1" applyBorder="1" applyAlignment="1">
      <alignment horizontal="right" vertical="center" wrapText="1"/>
    </xf>
    <xf numFmtId="4" fontId="7" fillId="5" borderId="49" xfId="1" applyNumberFormat="1" applyFont="1" applyFill="1" applyBorder="1" applyAlignment="1">
      <alignment horizontal="right" vertical="center" wrapText="1"/>
    </xf>
    <xf numFmtId="4" fontId="7" fillId="5" borderId="50" xfId="1" applyNumberFormat="1" applyFont="1" applyFill="1" applyBorder="1" applyAlignment="1">
      <alignment horizontal="right" vertical="center" wrapText="1"/>
    </xf>
    <xf numFmtId="0" fontId="2" fillId="3" borderId="51" xfId="1" applyFont="1" applyFill="1" applyBorder="1"/>
    <xf numFmtId="4" fontId="7" fillId="6" borderId="52" xfId="1" applyNumberFormat="1" applyFont="1" applyFill="1" applyBorder="1" applyAlignment="1">
      <alignment horizontal="right" vertical="center" wrapText="1"/>
    </xf>
    <xf numFmtId="4" fontId="7" fillId="6" borderId="53" xfId="1" applyNumberFormat="1" applyFont="1" applyFill="1" applyBorder="1" applyAlignment="1">
      <alignment horizontal="right" vertical="center" wrapText="1"/>
    </xf>
    <xf numFmtId="4" fontId="7" fillId="6" borderId="35" xfId="1" applyNumberFormat="1" applyFont="1" applyFill="1" applyBorder="1" applyAlignment="1">
      <alignment horizontal="right" vertical="center" wrapText="1"/>
    </xf>
    <xf numFmtId="4" fontId="7" fillId="6" borderId="54" xfId="1" applyNumberFormat="1" applyFont="1" applyFill="1" applyBorder="1" applyAlignment="1">
      <alignment horizontal="right" vertical="center" wrapText="1"/>
    </xf>
    <xf numFmtId="4" fontId="7" fillId="6" borderId="25" xfId="1" applyNumberFormat="1" applyFont="1" applyFill="1" applyBorder="1" applyAlignment="1">
      <alignment horizontal="right" vertical="center" wrapText="1"/>
    </xf>
    <xf numFmtId="4" fontId="7" fillId="6" borderId="33" xfId="1" applyNumberFormat="1" applyFont="1" applyFill="1" applyBorder="1" applyAlignment="1">
      <alignment horizontal="right" vertical="center" wrapText="1"/>
    </xf>
    <xf numFmtId="4" fontId="7" fillId="6" borderId="55" xfId="1" applyNumberFormat="1" applyFont="1" applyFill="1" applyBorder="1" applyAlignment="1">
      <alignment horizontal="right" vertical="center" wrapText="1"/>
    </xf>
    <xf numFmtId="0" fontId="2" fillId="3" borderId="25" xfId="1" applyFont="1" applyFill="1" applyBorder="1"/>
    <xf numFmtId="4" fontId="2" fillId="3" borderId="32" xfId="1" applyNumberFormat="1" applyFont="1" applyFill="1" applyBorder="1" applyAlignment="1">
      <alignment horizontal="right" vertical="center" wrapText="1"/>
    </xf>
    <xf numFmtId="4" fontId="2" fillId="3" borderId="36" xfId="1" applyNumberFormat="1" applyFont="1" applyFill="1" applyBorder="1" applyAlignment="1">
      <alignment horizontal="right" vertical="center" wrapText="1"/>
    </xf>
    <xf numFmtId="4" fontId="12" fillId="3" borderId="56" xfId="1" applyNumberFormat="1" applyFont="1" applyFill="1" applyBorder="1" applyAlignment="1">
      <alignment horizontal="center" vertical="center"/>
    </xf>
    <xf numFmtId="4" fontId="6" fillId="3" borderId="56" xfId="1" applyNumberFormat="1" applyFont="1" applyFill="1" applyBorder="1" applyAlignment="1">
      <alignment horizontal="right" vertical="center" wrapText="1"/>
    </xf>
    <xf numFmtId="4" fontId="9" fillId="3" borderId="39" xfId="1" applyNumberFormat="1" applyFont="1" applyFill="1" applyBorder="1" applyAlignment="1">
      <alignment horizontal="right" vertical="center" wrapText="1"/>
    </xf>
    <xf numFmtId="4" fontId="6" fillId="3" borderId="26" xfId="1" applyNumberFormat="1" applyFont="1" applyFill="1" applyBorder="1" applyAlignment="1">
      <alignment horizontal="right" vertical="center" wrapText="1"/>
    </xf>
    <xf numFmtId="4" fontId="2" fillId="3" borderId="27" xfId="1" applyNumberFormat="1" applyFont="1" applyFill="1" applyBorder="1"/>
    <xf numFmtId="4" fontId="2" fillId="3" borderId="28" xfId="1" applyNumberFormat="1" applyFont="1" applyFill="1" applyBorder="1"/>
    <xf numFmtId="0" fontId="2" fillId="3" borderId="27" xfId="1" applyFont="1" applyFill="1" applyBorder="1"/>
    <xf numFmtId="4" fontId="6" fillId="3" borderId="32" xfId="1" applyNumberFormat="1" applyFont="1" applyFill="1" applyBorder="1" applyAlignment="1">
      <alignment horizontal="right" vertical="center" wrapText="1"/>
    </xf>
    <xf numFmtId="4" fontId="3" fillId="3" borderId="34" xfId="2" applyNumberFormat="1" applyFont="1" applyFill="1" applyBorder="1" applyAlignment="1">
      <alignment horizontal="right" vertical="center" wrapText="1"/>
    </xf>
    <xf numFmtId="4" fontId="3" fillId="3" borderId="27" xfId="2" applyNumberFormat="1" applyFont="1" applyFill="1" applyBorder="1" applyAlignment="1">
      <alignment horizontal="center" vertical="center" wrapText="1"/>
    </xf>
    <xf numFmtId="4" fontId="11" fillId="3" borderId="27" xfId="2" applyNumberFormat="1" applyFont="1" applyFill="1" applyBorder="1" applyAlignment="1">
      <alignment horizontal="center" vertical="center" wrapText="1"/>
    </xf>
    <xf numFmtId="4" fontId="11" fillId="0" borderId="27" xfId="2" applyNumberFormat="1" applyFont="1" applyBorder="1" applyAlignment="1">
      <alignment horizontal="center" vertical="center" wrapText="1"/>
    </xf>
    <xf numFmtId="4" fontId="6" fillId="0" borderId="28" xfId="1" applyNumberFormat="1" applyFont="1" applyBorder="1" applyAlignment="1">
      <alignment horizontal="right" vertical="center" wrapText="1"/>
    </xf>
    <xf numFmtId="4" fontId="7" fillId="6" borderId="58" xfId="1" applyNumberFormat="1" applyFont="1" applyFill="1" applyBorder="1" applyAlignment="1">
      <alignment horizontal="right" vertical="center" wrapText="1"/>
    </xf>
    <xf numFmtId="4" fontId="7" fillId="6" borderId="57" xfId="1" applyNumberFormat="1" applyFont="1" applyFill="1" applyBorder="1" applyAlignment="1">
      <alignment horizontal="right" vertical="center" wrapText="1"/>
    </xf>
    <xf numFmtId="4" fontId="7" fillId="6" borderId="56" xfId="1" applyNumberFormat="1" applyFont="1" applyFill="1" applyBorder="1" applyAlignment="1">
      <alignment horizontal="right" vertical="center" wrapText="1"/>
    </xf>
    <xf numFmtId="4" fontId="7" fillId="10" borderId="27" xfId="1" applyNumberFormat="1" applyFont="1" applyFill="1" applyBorder="1" applyAlignment="1">
      <alignment horizontal="right" vertical="center" wrapText="1"/>
    </xf>
    <xf numFmtId="3" fontId="16" fillId="3" borderId="34" xfId="1" applyNumberFormat="1" applyFont="1" applyFill="1" applyBorder="1" applyAlignment="1">
      <alignment horizontal="center" vertical="center" wrapText="1"/>
    </xf>
    <xf numFmtId="4" fontId="6" fillId="0" borderId="59" xfId="1" applyNumberFormat="1" applyFont="1" applyBorder="1" applyAlignment="1">
      <alignment horizontal="right" vertical="center" wrapText="1"/>
    </xf>
    <xf numFmtId="4" fontId="6" fillId="0" borderId="60" xfId="1" applyNumberFormat="1" applyFont="1" applyBorder="1" applyAlignment="1">
      <alignment horizontal="right" vertical="center" wrapText="1"/>
    </xf>
    <xf numFmtId="4" fontId="6" fillId="0" borderId="61" xfId="1" applyNumberFormat="1" applyFont="1" applyBorder="1" applyAlignment="1">
      <alignment horizontal="right" vertical="center" wrapText="1"/>
    </xf>
    <xf numFmtId="4" fontId="6" fillId="0" borderId="62" xfId="1" applyNumberFormat="1" applyFont="1" applyBorder="1" applyAlignment="1">
      <alignment horizontal="right" vertical="center" wrapText="1"/>
    </xf>
    <xf numFmtId="4" fontId="2" fillId="0" borderId="59" xfId="1" applyNumberFormat="1" applyFont="1" applyBorder="1" applyAlignment="1">
      <alignment horizontal="right" vertical="center" wrapText="1"/>
    </xf>
    <xf numFmtId="4" fontId="8" fillId="0" borderId="61" xfId="1" applyNumberFormat="1" applyFont="1" applyBorder="1" applyAlignment="1">
      <alignment horizontal="right" vertical="center" wrapText="1"/>
    </xf>
    <xf numFmtId="4" fontId="2" fillId="0" borderId="61" xfId="1" applyNumberFormat="1" applyFont="1" applyBorder="1" applyAlignment="1">
      <alignment horizontal="right" vertical="center" wrapText="1"/>
    </xf>
    <xf numFmtId="4" fontId="2" fillId="0" borderId="60" xfId="1" applyNumberFormat="1" applyFont="1" applyBorder="1" applyAlignment="1">
      <alignment horizontal="right" vertical="center" wrapText="1"/>
    </xf>
    <xf numFmtId="4" fontId="8" fillId="0" borderId="63" xfId="1" applyNumberFormat="1" applyFont="1" applyBorder="1" applyAlignment="1">
      <alignment horizontal="right" vertical="center" wrapText="1"/>
    </xf>
    <xf numFmtId="4" fontId="8" fillId="0" borderId="60" xfId="1" applyNumberFormat="1" applyFont="1" applyBorder="1" applyAlignment="1">
      <alignment horizontal="right" vertical="center" wrapText="1"/>
    </xf>
    <xf numFmtId="4" fontId="2" fillId="0" borderId="63" xfId="1" applyNumberFormat="1" applyFont="1" applyBorder="1" applyAlignment="1">
      <alignment horizontal="right" vertical="center" wrapText="1"/>
    </xf>
    <xf numFmtId="4" fontId="2" fillId="0" borderId="64" xfId="1" applyNumberFormat="1" applyFont="1" applyBorder="1" applyAlignment="1">
      <alignment horizontal="right" vertical="center" wrapText="1"/>
    </xf>
    <xf numFmtId="0" fontId="6" fillId="2" borderId="0" xfId="1" applyFont="1" applyFill="1" applyAlignment="1">
      <alignment horizontal="center" vertical="center"/>
    </xf>
    <xf numFmtId="0" fontId="2" fillId="2" borderId="6" xfId="1" applyFont="1" applyFill="1" applyBorder="1" applyAlignment="1">
      <alignment horizontal="right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6" xfId="1" applyFont="1" applyFill="1" applyBorder="1"/>
    <xf numFmtId="0" fontId="2" fillId="2" borderId="0" xfId="1" applyFont="1" applyFill="1"/>
    <xf numFmtId="0" fontId="2" fillId="2" borderId="13" xfId="1" applyFont="1" applyFill="1" applyBorder="1"/>
    <xf numFmtId="0" fontId="2" fillId="2" borderId="65" xfId="1" applyFont="1" applyFill="1" applyBorder="1"/>
    <xf numFmtId="0" fontId="2" fillId="2" borderId="17" xfId="1" applyFont="1" applyFill="1" applyBorder="1"/>
    <xf numFmtId="0" fontId="2" fillId="2" borderId="14" xfId="1" applyFont="1" applyFill="1" applyBorder="1"/>
    <xf numFmtId="3" fontId="6" fillId="11" borderId="66" xfId="2" applyNumberFormat="1" applyFont="1" applyFill="1" applyBorder="1" applyAlignment="1">
      <alignment vertical="center" wrapText="1"/>
    </xf>
    <xf numFmtId="4" fontId="7" fillId="11" borderId="10" xfId="1" applyNumberFormat="1" applyFont="1" applyFill="1" applyBorder="1" applyAlignment="1">
      <alignment horizontal="right" vertical="center"/>
    </xf>
    <xf numFmtId="4" fontId="7" fillId="11" borderId="69" xfId="1" applyNumberFormat="1" applyFont="1" applyFill="1" applyBorder="1" applyAlignment="1">
      <alignment horizontal="right" vertical="center"/>
    </xf>
    <xf numFmtId="4" fontId="7" fillId="11" borderId="67" xfId="1" applyNumberFormat="1" applyFont="1" applyFill="1" applyBorder="1" applyAlignment="1">
      <alignment horizontal="right" vertical="center"/>
    </xf>
    <xf numFmtId="4" fontId="7" fillId="11" borderId="68" xfId="1" applyNumberFormat="1" applyFont="1" applyFill="1" applyBorder="1" applyAlignment="1">
      <alignment horizontal="right" vertical="center"/>
    </xf>
    <xf numFmtId="4" fontId="7" fillId="11" borderId="10" xfId="1" applyNumberFormat="1" applyFont="1" applyFill="1" applyBorder="1" applyAlignment="1">
      <alignment horizontal="right" vertical="center" wrapText="1"/>
    </xf>
    <xf numFmtId="4" fontId="7" fillId="11" borderId="67" xfId="1" applyNumberFormat="1" applyFont="1" applyFill="1" applyBorder="1" applyAlignment="1">
      <alignment horizontal="right" vertical="center" wrapText="1"/>
    </xf>
    <xf numFmtId="4" fontId="7" fillId="11" borderId="69" xfId="1" applyNumberFormat="1" applyFont="1" applyFill="1" applyBorder="1" applyAlignment="1">
      <alignment horizontal="right" vertical="center" wrapText="1"/>
    </xf>
    <xf numFmtId="4" fontId="7" fillId="11" borderId="70" xfId="1" applyNumberFormat="1" applyFont="1" applyFill="1" applyBorder="1" applyAlignment="1">
      <alignment horizontal="right" vertical="center" wrapText="1"/>
    </xf>
    <xf numFmtId="0" fontId="2" fillId="0" borderId="1" xfId="1" applyFont="1" applyBorder="1"/>
    <xf numFmtId="4" fontId="6" fillId="11" borderId="25" xfId="1" applyNumberFormat="1" applyFont="1" applyFill="1" applyBorder="1" applyAlignment="1">
      <alignment horizontal="right" vertical="center" wrapText="1"/>
    </xf>
    <xf numFmtId="4" fontId="6" fillId="11" borderId="34" xfId="1" applyNumberFormat="1" applyFont="1" applyFill="1" applyBorder="1" applyAlignment="1">
      <alignment horizontal="right" vertical="center" wrapText="1"/>
    </xf>
    <xf numFmtId="4" fontId="2" fillId="3" borderId="59" xfId="1" applyNumberFormat="1" applyFont="1" applyFill="1" applyBorder="1" applyAlignment="1">
      <alignment horizontal="right" vertical="center" wrapText="1"/>
    </xf>
    <xf numFmtId="4" fontId="6" fillId="11" borderId="59" xfId="1" applyNumberFormat="1" applyFont="1" applyFill="1" applyBorder="1" applyAlignment="1">
      <alignment horizontal="right" vertical="center" wrapText="1"/>
    </xf>
    <xf numFmtId="3" fontId="18" fillId="0" borderId="0" xfId="2" applyNumberFormat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17" fillId="0" borderId="0" xfId="0" applyFont="1"/>
    <xf numFmtId="3" fontId="19" fillId="0" borderId="0" xfId="1" applyNumberFormat="1" applyFont="1" applyAlignment="1">
      <alignment horizontal="left" vertical="center"/>
    </xf>
    <xf numFmtId="0" fontId="19" fillId="0" borderId="0" xfId="1" applyFont="1"/>
    <xf numFmtId="0" fontId="2" fillId="0" borderId="0" xfId="1" applyFont="1" applyAlignment="1">
      <alignment horizontal="right"/>
    </xf>
    <xf numFmtId="4" fontId="6" fillId="6" borderId="34" xfId="1" applyNumberFormat="1" applyFont="1" applyFill="1" applyBorder="1" applyAlignment="1">
      <alignment horizontal="right" vertical="center" wrapText="1"/>
    </xf>
    <xf numFmtId="4" fontId="6" fillId="0" borderId="34" xfId="1" applyNumberFormat="1" applyFont="1" applyFill="1" applyBorder="1" applyAlignment="1">
      <alignment horizontal="right" vertical="center" wrapText="1"/>
    </xf>
    <xf numFmtId="4" fontId="2" fillId="0" borderId="27" xfId="1" applyNumberFormat="1" applyFont="1" applyFill="1" applyBorder="1" applyAlignment="1">
      <alignment horizontal="right" vertical="center" wrapText="1"/>
    </xf>
    <xf numFmtId="4" fontId="6" fillId="0" borderId="28" xfId="1" applyNumberFormat="1" applyFont="1" applyFill="1" applyBorder="1" applyAlignment="1">
      <alignment horizontal="right" vertical="center" wrapText="1"/>
    </xf>
    <xf numFmtId="4" fontId="2" fillId="0" borderId="29" xfId="1" applyNumberFormat="1" applyFont="1" applyFill="1" applyBorder="1" applyAlignment="1">
      <alignment horizontal="right" vertical="center" wrapText="1"/>
    </xf>
    <xf numFmtId="4" fontId="2" fillId="0" borderId="34" xfId="1" applyNumberFormat="1" applyFont="1" applyFill="1" applyBorder="1" applyAlignment="1">
      <alignment horizontal="right" vertical="center" wrapText="1"/>
    </xf>
    <xf numFmtId="4" fontId="2" fillId="0" borderId="28" xfId="1" applyNumberFormat="1" applyFont="1" applyFill="1" applyBorder="1" applyAlignment="1">
      <alignment horizontal="right" vertical="center" wrapText="1"/>
    </xf>
    <xf numFmtId="4" fontId="2" fillId="0" borderId="32" xfId="1" applyNumberFormat="1" applyFont="1" applyFill="1" applyBorder="1" applyAlignment="1">
      <alignment horizontal="right" vertical="center" wrapText="1"/>
    </xf>
    <xf numFmtId="4" fontId="9" fillId="0" borderId="34" xfId="1" applyNumberFormat="1" applyFont="1" applyFill="1" applyBorder="1" applyAlignment="1">
      <alignment horizontal="right" vertical="center" wrapText="1"/>
    </xf>
    <xf numFmtId="4" fontId="8" fillId="0" borderId="36" xfId="1" applyNumberFormat="1" applyFont="1" applyFill="1" applyBorder="1" applyAlignment="1">
      <alignment horizontal="right" vertical="center" wrapText="1"/>
    </xf>
    <xf numFmtId="4" fontId="8" fillId="0" borderId="27" xfId="1" applyNumberFormat="1" applyFont="1" applyFill="1" applyBorder="1" applyAlignment="1">
      <alignment horizontal="right" vertical="center" wrapText="1"/>
    </xf>
    <xf numFmtId="4" fontId="2" fillId="0" borderId="61" xfId="1" applyNumberFormat="1" applyFont="1" applyFill="1" applyBorder="1" applyAlignment="1">
      <alignment horizontal="right" vertical="center" wrapText="1"/>
    </xf>
    <xf numFmtId="3" fontId="6" fillId="0" borderId="36" xfId="2" applyNumberFormat="1" applyFont="1" applyFill="1" applyBorder="1" applyAlignment="1">
      <alignment vertical="center" wrapText="1"/>
    </xf>
    <xf numFmtId="4" fontId="2" fillId="0" borderId="24" xfId="1" applyNumberFormat="1" applyFont="1" applyFill="1" applyBorder="1" applyAlignment="1">
      <alignment horizontal="right" vertical="center" wrapText="1"/>
    </xf>
    <xf numFmtId="3" fontId="2" fillId="0" borderId="34" xfId="2" applyNumberFormat="1" applyFont="1" applyFill="1" applyBorder="1" applyAlignment="1">
      <alignment horizontal="center" vertical="center" wrapText="1"/>
    </xf>
    <xf numFmtId="3" fontId="6" fillId="0" borderId="63" xfId="2" applyNumberFormat="1" applyFont="1" applyFill="1" applyBorder="1" applyAlignment="1">
      <alignment vertical="center" wrapText="1"/>
    </xf>
    <xf numFmtId="3" fontId="11" fillId="0" borderId="34" xfId="2" applyNumberFormat="1" applyFont="1" applyFill="1" applyBorder="1" applyAlignment="1">
      <alignment horizontal="center" vertical="center" wrapText="1"/>
    </xf>
    <xf numFmtId="3" fontId="11" fillId="0" borderId="25" xfId="2" applyNumberFormat="1" applyFont="1" applyFill="1" applyBorder="1" applyAlignment="1">
      <alignment horizontal="center" vertical="center" wrapText="1"/>
    </xf>
    <xf numFmtId="2" fontId="2" fillId="11" borderId="34" xfId="1" applyNumberFormat="1" applyFont="1" applyFill="1" applyBorder="1" applyAlignment="1">
      <alignment horizontal="right" vertical="center" wrapText="1"/>
    </xf>
    <xf numFmtId="0" fontId="2" fillId="11" borderId="28" xfId="1" applyFont="1" applyFill="1" applyBorder="1" applyAlignment="1">
      <alignment horizontal="center" vertical="center" wrapText="1"/>
    </xf>
    <xf numFmtId="0" fontId="2" fillId="11" borderId="27" xfId="1" applyFont="1" applyFill="1" applyBorder="1" applyAlignment="1">
      <alignment horizontal="center" vertical="center" wrapText="1"/>
    </xf>
    <xf numFmtId="0" fontId="2" fillId="11" borderId="29" xfId="1" applyFont="1" applyFill="1" applyBorder="1" applyAlignment="1">
      <alignment horizontal="center" vertical="center" wrapText="1"/>
    </xf>
    <xf numFmtId="4" fontId="2" fillId="11" borderId="25" xfId="1" applyNumberFormat="1" applyFont="1" applyFill="1" applyBorder="1" applyAlignment="1">
      <alignment horizontal="right" vertical="center" wrapText="1"/>
    </xf>
    <xf numFmtId="4" fontId="6" fillId="11" borderId="26" xfId="1" applyNumberFormat="1" applyFont="1" applyFill="1" applyBorder="1" applyAlignment="1">
      <alignment horizontal="right" vertical="center" wrapText="1"/>
    </xf>
    <xf numFmtId="4" fontId="6" fillId="11" borderId="24" xfId="1" applyNumberFormat="1" applyFont="1" applyFill="1" applyBorder="1" applyAlignment="1">
      <alignment horizontal="right" vertical="center" wrapText="1"/>
    </xf>
    <xf numFmtId="4" fontId="2" fillId="11" borderId="24" xfId="1" applyNumberFormat="1" applyFont="1" applyFill="1" applyBorder="1" applyAlignment="1">
      <alignment horizontal="right" vertical="center" wrapText="1"/>
    </xf>
    <xf numFmtId="4" fontId="8" fillId="11" borderId="27" xfId="1" applyNumberFormat="1" applyFont="1" applyFill="1" applyBorder="1" applyAlignment="1">
      <alignment horizontal="right" vertical="center" wrapText="1"/>
    </xf>
    <xf numFmtId="0" fontId="2" fillId="11" borderId="27" xfId="1" applyFont="1" applyFill="1" applyBorder="1"/>
    <xf numFmtId="4" fontId="2" fillId="11" borderId="27" xfId="1" applyNumberFormat="1" applyFont="1" applyFill="1" applyBorder="1" applyAlignment="1">
      <alignment horizontal="right" vertical="center" wrapText="1"/>
    </xf>
    <xf numFmtId="4" fontId="8" fillId="11" borderId="31" xfId="1" applyNumberFormat="1" applyFont="1" applyFill="1" applyBorder="1" applyAlignment="1">
      <alignment horizontal="right" vertical="center" wrapText="1"/>
    </xf>
    <xf numFmtId="4" fontId="8" fillId="11" borderId="28" xfId="1" applyNumberFormat="1" applyFont="1" applyFill="1" applyBorder="1" applyAlignment="1">
      <alignment horizontal="right" vertical="center" wrapText="1"/>
    </xf>
    <xf numFmtId="4" fontId="2" fillId="11" borderId="26" xfId="1" applyNumberFormat="1" applyFont="1" applyFill="1" applyBorder="1" applyAlignment="1">
      <alignment horizontal="right" vertical="center" wrapText="1"/>
    </xf>
    <xf numFmtId="4" fontId="2" fillId="11" borderId="31" xfId="1" applyNumberFormat="1" applyFont="1" applyFill="1" applyBorder="1" applyAlignment="1">
      <alignment horizontal="right" vertical="center" wrapText="1"/>
    </xf>
    <xf numFmtId="0" fontId="2" fillId="11" borderId="28" xfId="1" applyFont="1" applyFill="1" applyBorder="1"/>
    <xf numFmtId="4" fontId="8" fillId="11" borderId="36" xfId="1" applyNumberFormat="1" applyFont="1" applyFill="1" applyBorder="1" applyAlignment="1">
      <alignment horizontal="right" vertical="center" wrapText="1"/>
    </xf>
    <xf numFmtId="4" fontId="2" fillId="11" borderId="28" xfId="1" applyNumberFormat="1" applyFont="1" applyFill="1" applyBorder="1" applyAlignment="1">
      <alignment horizontal="right" vertical="center" wrapText="1"/>
    </xf>
    <xf numFmtId="4" fontId="2" fillId="11" borderId="30" xfId="1" applyNumberFormat="1" applyFont="1" applyFill="1" applyBorder="1" applyAlignment="1">
      <alignment horizontal="right" vertical="center" wrapText="1"/>
    </xf>
    <xf numFmtId="0" fontId="2" fillId="11" borderId="0" xfId="1" applyFont="1" applyFill="1"/>
    <xf numFmtId="2" fontId="2" fillId="11" borderId="34" xfId="1" quotePrefix="1" applyNumberFormat="1" applyFont="1" applyFill="1" applyBorder="1" applyAlignment="1">
      <alignment horizontal="right" vertical="center" wrapText="1"/>
    </xf>
    <xf numFmtId="3" fontId="6" fillId="11" borderId="28" xfId="1" quotePrefix="1" applyNumberFormat="1" applyFont="1" applyFill="1" applyBorder="1" applyAlignment="1">
      <alignment horizontal="center" vertical="center" wrapText="1"/>
    </xf>
    <xf numFmtId="3" fontId="6" fillId="11" borderId="27" xfId="1" quotePrefix="1" applyNumberFormat="1" applyFont="1" applyFill="1" applyBorder="1" applyAlignment="1">
      <alignment horizontal="center" vertical="center" wrapText="1"/>
    </xf>
    <xf numFmtId="3" fontId="6" fillId="11" borderId="29" xfId="1" quotePrefix="1" applyNumberFormat="1" applyFont="1" applyFill="1" applyBorder="1" applyAlignment="1">
      <alignment horizontal="center" vertical="center" wrapText="1"/>
    </xf>
    <xf numFmtId="2" fontId="18" fillId="11" borderId="34" xfId="2" applyNumberFormat="1" applyFont="1" applyFill="1" applyBorder="1" applyAlignment="1">
      <alignment horizontal="right" vertical="center" wrapText="1"/>
    </xf>
    <xf numFmtId="3" fontId="18" fillId="11" borderId="28" xfId="2" applyNumberFormat="1" applyFont="1" applyFill="1" applyBorder="1" applyAlignment="1">
      <alignment vertical="center" wrapText="1"/>
    </xf>
    <xf numFmtId="3" fontId="18" fillId="11" borderId="27" xfId="2" applyNumberFormat="1" applyFont="1" applyFill="1" applyBorder="1" applyAlignment="1">
      <alignment vertical="center" wrapText="1"/>
    </xf>
    <xf numFmtId="3" fontId="18" fillId="11" borderId="29" xfId="2" applyNumberFormat="1" applyFont="1" applyFill="1" applyBorder="1" applyAlignment="1">
      <alignment vertical="center" wrapText="1"/>
    </xf>
    <xf numFmtId="4" fontId="2" fillId="11" borderId="36" xfId="1" applyNumberFormat="1" applyFont="1" applyFill="1" applyBorder="1" applyAlignment="1">
      <alignment horizontal="right" vertical="center" wrapText="1"/>
    </xf>
    <xf numFmtId="4" fontId="15" fillId="11" borderId="24" xfId="1" applyNumberFormat="1" applyFont="1" applyFill="1" applyBorder="1" applyAlignment="1">
      <alignment horizontal="right" vertical="center" wrapText="1"/>
    </xf>
    <xf numFmtId="2" fontId="18" fillId="11" borderId="59" xfId="2" applyNumberFormat="1" applyFont="1" applyFill="1" applyBorder="1" applyAlignment="1">
      <alignment horizontal="right" vertical="center" wrapText="1"/>
    </xf>
    <xf numFmtId="3" fontId="18" fillId="11" borderId="60" xfId="2" applyNumberFormat="1" applyFont="1" applyFill="1" applyBorder="1" applyAlignment="1">
      <alignment vertical="center" wrapText="1"/>
    </xf>
    <xf numFmtId="3" fontId="18" fillId="11" borderId="61" xfId="2" applyNumberFormat="1" applyFont="1" applyFill="1" applyBorder="1" applyAlignment="1">
      <alignment vertical="center" wrapText="1"/>
    </xf>
    <xf numFmtId="3" fontId="18" fillId="11" borderId="62" xfId="2" applyNumberFormat="1" applyFont="1" applyFill="1" applyBorder="1" applyAlignment="1">
      <alignment vertical="center" wrapText="1"/>
    </xf>
    <xf numFmtId="4" fontId="2" fillId="11" borderId="5" xfId="1" applyNumberFormat="1" applyFont="1" applyFill="1" applyBorder="1" applyAlignment="1">
      <alignment horizontal="right" vertical="center" wrapText="1"/>
    </xf>
    <xf numFmtId="4" fontId="2" fillId="11" borderId="71" xfId="1" applyNumberFormat="1" applyFont="1" applyFill="1" applyBorder="1" applyAlignment="1">
      <alignment horizontal="right" vertical="center" wrapText="1"/>
    </xf>
    <xf numFmtId="4" fontId="2" fillId="11" borderId="61" xfId="1" applyNumberFormat="1" applyFont="1" applyFill="1" applyBorder="1" applyAlignment="1">
      <alignment horizontal="right" vertical="center" wrapText="1"/>
    </xf>
    <xf numFmtId="4" fontId="8" fillId="11" borderId="61" xfId="1" applyNumberFormat="1" applyFont="1" applyFill="1" applyBorder="1" applyAlignment="1">
      <alignment horizontal="right" vertical="center" wrapText="1"/>
    </xf>
    <xf numFmtId="4" fontId="2" fillId="11" borderId="72" xfId="1" applyNumberFormat="1" applyFont="1" applyFill="1" applyBorder="1" applyAlignment="1">
      <alignment horizontal="right" vertical="center" wrapText="1"/>
    </xf>
    <xf numFmtId="4" fontId="8" fillId="11" borderId="73" xfId="1" applyNumberFormat="1" applyFont="1" applyFill="1" applyBorder="1" applyAlignment="1">
      <alignment horizontal="right" vertical="center" wrapText="1"/>
    </xf>
    <xf numFmtId="4" fontId="2" fillId="11" borderId="60" xfId="1" applyNumberFormat="1" applyFont="1" applyFill="1" applyBorder="1" applyAlignment="1">
      <alignment horizontal="right" vertical="center" wrapText="1"/>
    </xf>
    <xf numFmtId="4" fontId="15" fillId="11" borderId="61" xfId="1" applyNumberFormat="1" applyFont="1" applyFill="1" applyBorder="1" applyAlignment="1">
      <alignment horizontal="right" vertical="center" wrapText="1"/>
    </xf>
    <xf numFmtId="4" fontId="2" fillId="11" borderId="64" xfId="1" applyNumberFormat="1" applyFont="1" applyFill="1" applyBorder="1" applyAlignment="1">
      <alignment horizontal="right" vertical="center" wrapText="1"/>
    </xf>
    <xf numFmtId="4" fontId="2" fillId="0" borderId="60" xfId="1" applyNumberFormat="1" applyFont="1" applyFill="1" applyBorder="1" applyAlignment="1">
      <alignment horizontal="right" vertical="center" wrapText="1"/>
    </xf>
    <xf numFmtId="4" fontId="2" fillId="0" borderId="64" xfId="1" applyNumberFormat="1" applyFont="1" applyFill="1" applyBorder="1" applyAlignment="1">
      <alignment horizontal="right" vertical="center" wrapText="1"/>
    </xf>
    <xf numFmtId="3" fontId="14" fillId="0" borderId="34" xfId="0" applyNumberFormat="1" applyFont="1" applyBorder="1" applyAlignment="1">
      <alignment horizontal="center" vertical="center" wrapText="1"/>
    </xf>
    <xf numFmtId="4" fontId="9" fillId="0" borderId="28" xfId="1" applyNumberFormat="1" applyFont="1" applyBorder="1" applyAlignment="1">
      <alignment horizontal="right" vertical="center" wrapText="1"/>
    </xf>
    <xf numFmtId="4" fontId="15" fillId="0" borderId="27" xfId="1" applyNumberFormat="1" applyFont="1" applyBorder="1" applyAlignment="1">
      <alignment horizontal="right" vertical="center" wrapText="1"/>
    </xf>
    <xf numFmtId="3" fontId="16" fillId="0" borderId="34" xfId="1" applyNumberFormat="1" applyFont="1" applyBorder="1" applyAlignment="1">
      <alignment horizontal="center" vertical="center" wrapText="1"/>
    </xf>
    <xf numFmtId="3" fontId="11" fillId="0" borderId="59" xfId="2" applyNumberFormat="1" applyFont="1" applyBorder="1" applyAlignment="1">
      <alignment horizontal="center" vertical="center" wrapText="1"/>
    </xf>
    <xf numFmtId="3" fontId="2" fillId="0" borderId="34" xfId="2" applyNumberFormat="1" applyFont="1" applyBorder="1" applyAlignment="1">
      <alignment horizontal="center" vertical="center" wrapText="1"/>
    </xf>
    <xf numFmtId="3" fontId="2" fillId="0" borderId="34" xfId="2" quotePrefix="1" applyNumberFormat="1" applyFont="1" applyBorder="1" applyAlignment="1">
      <alignment horizontal="center" vertical="center" wrapText="1"/>
    </xf>
    <xf numFmtId="3" fontId="2" fillId="0" borderId="59" xfId="2" applyNumberFormat="1" applyFont="1" applyBorder="1" applyAlignment="1">
      <alignment horizontal="center" vertical="center" wrapText="1"/>
    </xf>
    <xf numFmtId="4" fontId="2" fillId="4" borderId="24" xfId="1" applyNumberFormat="1" applyFont="1" applyFill="1" applyBorder="1" applyAlignment="1">
      <alignment horizontal="right" vertical="center" wrapText="1"/>
    </xf>
    <xf numFmtId="4" fontId="6" fillId="0" borderId="25" xfId="1" applyNumberFormat="1" applyFont="1" applyFill="1" applyBorder="1" applyAlignment="1">
      <alignment horizontal="right" vertical="center" wrapText="1"/>
    </xf>
    <xf numFmtId="4" fontId="6" fillId="0" borderId="26" xfId="1" applyNumberFormat="1" applyFont="1" applyFill="1" applyBorder="1" applyAlignment="1">
      <alignment horizontal="right" vertical="center" wrapText="1"/>
    </xf>
    <xf numFmtId="4" fontId="6" fillId="0" borderId="24" xfId="1" applyNumberFormat="1" applyFont="1" applyFill="1" applyBorder="1" applyAlignment="1">
      <alignment horizontal="right" vertical="center" wrapText="1"/>
    </xf>
    <xf numFmtId="4" fontId="2" fillId="0" borderId="26" xfId="1" applyNumberFormat="1" applyFont="1" applyFill="1" applyBorder="1" applyAlignment="1">
      <alignment horizontal="right" vertical="center" wrapText="1"/>
    </xf>
    <xf numFmtId="4" fontId="2" fillId="0" borderId="25" xfId="1" applyNumberFormat="1" applyFont="1" applyFill="1" applyBorder="1" applyAlignment="1">
      <alignment horizontal="right" vertical="center" wrapText="1"/>
    </xf>
    <xf numFmtId="4" fontId="6" fillId="0" borderId="55" xfId="1" applyNumberFormat="1" applyFont="1" applyFill="1" applyBorder="1" applyAlignment="1">
      <alignment horizontal="right" vertical="center" wrapText="1"/>
    </xf>
    <xf numFmtId="4" fontId="8" fillId="0" borderId="28" xfId="1" applyNumberFormat="1" applyFont="1" applyFill="1" applyBorder="1" applyAlignment="1">
      <alignment horizontal="right" vertical="center" wrapText="1"/>
    </xf>
    <xf numFmtId="4" fontId="2" fillId="0" borderId="55" xfId="1" applyNumberFormat="1" applyFont="1" applyFill="1" applyBorder="1" applyAlignment="1">
      <alignment horizontal="right" vertical="center" wrapText="1"/>
    </xf>
    <xf numFmtId="4" fontId="9" fillId="0" borderId="27" xfId="1" applyNumberFormat="1" applyFont="1" applyFill="1" applyBorder="1" applyAlignment="1">
      <alignment horizontal="right" vertical="center" wrapText="1"/>
    </xf>
    <xf numFmtId="4" fontId="11" fillId="3" borderId="34" xfId="2" applyNumberFormat="1" applyFont="1" applyFill="1" applyBorder="1" applyAlignment="1">
      <alignment horizontal="right" vertical="center" wrapText="1"/>
    </xf>
    <xf numFmtId="4" fontId="7" fillId="6" borderId="26" xfId="1" applyNumberFormat="1" applyFont="1" applyFill="1" applyBorder="1" applyAlignment="1">
      <alignment horizontal="right" vertical="center" wrapText="1"/>
    </xf>
    <xf numFmtId="4" fontId="2" fillId="0" borderId="71" xfId="1" applyNumberFormat="1" applyFont="1" applyBorder="1" applyAlignment="1">
      <alignment horizontal="right" vertical="center" wrapText="1"/>
    </xf>
    <xf numFmtId="0" fontId="19" fillId="0" borderId="0" xfId="1" applyFont="1" applyAlignment="1">
      <alignment vertical="center" wrapText="1"/>
    </xf>
    <xf numFmtId="3" fontId="45" fillId="0" borderId="0" xfId="2" applyNumberFormat="1" applyFont="1" applyAlignment="1">
      <alignment vertical="center" wrapText="1"/>
    </xf>
    <xf numFmtId="0" fontId="46" fillId="0" borderId="0" xfId="0" applyFont="1"/>
    <xf numFmtId="0" fontId="47" fillId="0" borderId="0" xfId="1" applyFont="1" applyAlignment="1">
      <alignment vertical="center" wrapText="1"/>
    </xf>
    <xf numFmtId="3" fontId="19" fillId="0" borderId="0" xfId="0" applyNumberFormat="1" applyFont="1" applyAlignment="1">
      <alignment vertical="center" wrapText="1"/>
    </xf>
    <xf numFmtId="0" fontId="19" fillId="0" borderId="0" xfId="0" applyFont="1" applyAlignment="1">
      <alignment vertical="center" wrapText="1"/>
    </xf>
    <xf numFmtId="3" fontId="47" fillId="0" borderId="0" xfId="0" applyNumberFormat="1" applyFont="1"/>
    <xf numFmtId="4" fontId="6" fillId="0" borderId="29" xfId="1" applyNumberFormat="1" applyFont="1" applyFill="1" applyBorder="1" applyAlignment="1">
      <alignment horizontal="right" vertical="center" wrapText="1"/>
    </xf>
    <xf numFmtId="4" fontId="2" fillId="0" borderId="31" xfId="1" applyNumberFormat="1" applyFont="1" applyFill="1" applyBorder="1" applyAlignment="1">
      <alignment horizontal="right" vertical="center" wrapText="1"/>
    </xf>
    <xf numFmtId="0" fontId="19" fillId="0" borderId="0" xfId="1" applyFont="1" applyAlignment="1">
      <alignment horizontal="left" vertical="center" wrapText="1"/>
    </xf>
    <xf numFmtId="3" fontId="19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2" fontId="6" fillId="12" borderId="74" xfId="1" applyNumberFormat="1" applyFont="1" applyFill="1" applyBorder="1" applyAlignment="1">
      <alignment horizontal="center" vertical="center" wrapText="1"/>
    </xf>
    <xf numFmtId="0" fontId="6" fillId="12" borderId="9" xfId="1" applyFont="1" applyFill="1" applyBorder="1" applyAlignment="1">
      <alignment horizontal="center"/>
    </xf>
    <xf numFmtId="0" fontId="6" fillId="12" borderId="3" xfId="1" applyFont="1" applyFill="1" applyBorder="1" applyAlignment="1">
      <alignment vertical="center" wrapText="1"/>
    </xf>
    <xf numFmtId="0" fontId="6" fillId="12" borderId="4" xfId="1" applyFont="1" applyFill="1" applyBorder="1" applyAlignment="1">
      <alignment vertical="center" wrapText="1"/>
    </xf>
    <xf numFmtId="0" fontId="6" fillId="12" borderId="22" xfId="1" applyFont="1" applyFill="1" applyBorder="1" applyAlignment="1">
      <alignment horizontal="center"/>
    </xf>
    <xf numFmtId="3" fontId="6" fillId="12" borderId="75" xfId="1" applyNumberFormat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12" borderId="74" xfId="1" applyFont="1" applyFill="1" applyBorder="1" applyAlignment="1">
      <alignment horizontal="center" vertical="center" wrapText="1"/>
    </xf>
    <xf numFmtId="4" fontId="6" fillId="3" borderId="59" xfId="1" applyNumberFormat="1" applyFont="1" applyFill="1" applyBorder="1" applyAlignment="1">
      <alignment horizontal="right" vertical="center" wrapText="1"/>
    </xf>
    <xf numFmtId="0" fontId="6" fillId="0" borderId="54" xfId="1" applyFont="1" applyBorder="1" applyAlignment="1">
      <alignment horizontal="center" vertical="center"/>
    </xf>
    <xf numFmtId="0" fontId="6" fillId="5" borderId="56" xfId="1" applyFont="1" applyFill="1" applyBorder="1" applyAlignment="1">
      <alignment horizontal="center" vertical="center"/>
    </xf>
    <xf numFmtId="0" fontId="6" fillId="6" borderId="56" xfId="1" applyFont="1" applyFill="1" applyBorder="1" applyAlignment="1">
      <alignment horizontal="center" vertical="center"/>
    </xf>
    <xf numFmtId="0" fontId="6" fillId="3" borderId="56" xfId="1" applyFont="1" applyFill="1" applyBorder="1" applyAlignment="1">
      <alignment horizontal="center" vertical="center"/>
    </xf>
    <xf numFmtId="4" fontId="12" fillId="6" borderId="56" xfId="1" applyNumberFormat="1" applyFont="1" applyFill="1" applyBorder="1" applyAlignment="1">
      <alignment horizontal="center" vertical="center"/>
    </xf>
    <xf numFmtId="4" fontId="12" fillId="3" borderId="76" xfId="1" applyNumberFormat="1" applyFont="1" applyFill="1" applyBorder="1" applyAlignment="1">
      <alignment horizontal="center" vertical="center"/>
    </xf>
    <xf numFmtId="4" fontId="12" fillId="7" borderId="56" xfId="1" applyNumberFormat="1" applyFont="1" applyFill="1" applyBorder="1" applyAlignment="1">
      <alignment horizontal="center" vertical="center"/>
    </xf>
    <xf numFmtId="4" fontId="12" fillId="5" borderId="54" xfId="1" applyNumberFormat="1" applyFont="1" applyFill="1" applyBorder="1" applyAlignment="1">
      <alignment horizontal="center" vertical="center"/>
    </xf>
    <xf numFmtId="4" fontId="12" fillId="3" borderId="56" xfId="1" applyNumberFormat="1" applyFont="1" applyFill="1" applyBorder="1" applyAlignment="1">
      <alignment horizontal="center" vertical="center" wrapText="1"/>
    </xf>
    <xf numFmtId="4" fontId="12" fillId="0" borderId="56" xfId="1" applyNumberFormat="1" applyFont="1" applyBorder="1" applyAlignment="1">
      <alignment horizontal="center" vertical="center" wrapText="1"/>
    </xf>
    <xf numFmtId="4" fontId="12" fillId="3" borderId="76" xfId="1" applyNumberFormat="1" applyFont="1" applyFill="1" applyBorder="1" applyAlignment="1">
      <alignment horizontal="center" vertical="center" wrapText="1"/>
    </xf>
    <xf numFmtId="4" fontId="12" fillId="0" borderId="0" xfId="1" applyNumberFormat="1" applyFont="1" applyFill="1" applyBorder="1" applyAlignment="1">
      <alignment horizontal="center" vertical="center" wrapText="1"/>
    </xf>
    <xf numFmtId="4" fontId="12" fillId="6" borderId="56" xfId="1" applyNumberFormat="1" applyFont="1" applyFill="1" applyBorder="1" applyAlignment="1">
      <alignment horizontal="center" vertical="center" wrapText="1"/>
    </xf>
    <xf numFmtId="0" fontId="6" fillId="0" borderId="77" xfId="1" applyFont="1" applyBorder="1" applyAlignment="1">
      <alignment horizontal="center" vertical="center"/>
    </xf>
    <xf numFmtId="0" fontId="6" fillId="11" borderId="78" xfId="1" applyFont="1" applyFill="1" applyBorder="1" applyAlignment="1">
      <alignment horizontal="center" vertical="center"/>
    </xf>
    <xf numFmtId="3" fontId="18" fillId="0" borderId="56" xfId="2" applyNumberFormat="1" applyFont="1" applyFill="1" applyBorder="1" applyAlignment="1">
      <alignment vertical="center" wrapText="1"/>
    </xf>
    <xf numFmtId="3" fontId="18" fillId="0" borderId="56" xfId="2" applyNumberFormat="1" applyFont="1" applyBorder="1" applyAlignment="1">
      <alignment vertical="center" wrapText="1"/>
    </xf>
    <xf numFmtId="3" fontId="18" fillId="0" borderId="79" xfId="2" applyNumberFormat="1" applyFont="1" applyBorder="1" applyAlignment="1">
      <alignment vertical="center" wrapText="1"/>
    </xf>
    <xf numFmtId="0" fontId="6" fillId="2" borderId="80" xfId="1" applyFont="1" applyFill="1" applyBorder="1" applyAlignment="1">
      <alignment horizontal="center" vertical="center"/>
    </xf>
    <xf numFmtId="0" fontId="6" fillId="2" borderId="81" xfId="1" applyFont="1" applyFill="1" applyBorder="1" applyAlignment="1">
      <alignment vertical="center"/>
    </xf>
    <xf numFmtId="0" fontId="6" fillId="0" borderId="33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5" borderId="36" xfId="1" applyFont="1" applyFill="1" applyBorder="1" applyAlignment="1">
      <alignment vertical="center"/>
    </xf>
    <xf numFmtId="0" fontId="6" fillId="5" borderId="31" xfId="1" applyFont="1" applyFill="1" applyBorder="1" applyAlignment="1">
      <alignment horizontal="center" vertical="center"/>
    </xf>
    <xf numFmtId="0" fontId="6" fillId="6" borderId="36" xfId="1" applyFont="1" applyFill="1" applyBorder="1" applyAlignment="1">
      <alignment vertical="center"/>
    </xf>
    <xf numFmtId="0" fontId="6" fillId="6" borderId="31" xfId="1" applyFont="1" applyFill="1" applyBorder="1" applyAlignment="1">
      <alignment horizontal="center" vertical="center"/>
    </xf>
    <xf numFmtId="0" fontId="6" fillId="3" borderId="36" xfId="1" applyFont="1" applyFill="1" applyBorder="1" applyAlignment="1">
      <alignment horizontal="justify" vertical="center" wrapText="1"/>
    </xf>
    <xf numFmtId="0" fontId="6" fillId="3" borderId="31" xfId="1" applyFont="1" applyFill="1" applyBorder="1" applyAlignment="1">
      <alignment horizontal="center" vertical="center"/>
    </xf>
    <xf numFmtId="4" fontId="2" fillId="3" borderId="31" xfId="1" applyNumberFormat="1" applyFont="1" applyFill="1" applyBorder="1" applyAlignment="1">
      <alignment horizontal="center" vertical="center"/>
    </xf>
    <xf numFmtId="0" fontId="6" fillId="0" borderId="82" xfId="1" quotePrefix="1" applyFont="1" applyFill="1" applyBorder="1" applyAlignment="1">
      <alignment horizontal="justify" vertical="center" wrapText="1"/>
    </xf>
    <xf numFmtId="0" fontId="6" fillId="6" borderId="36" xfId="1" quotePrefix="1" applyFont="1" applyFill="1" applyBorder="1" applyAlignment="1">
      <alignment horizontal="justify" vertical="center" wrapText="1"/>
    </xf>
    <xf numFmtId="4" fontId="2" fillId="6" borderId="31" xfId="1" applyNumberFormat="1" applyFont="1" applyFill="1" applyBorder="1" applyAlignment="1">
      <alignment horizontal="center" vertical="center"/>
    </xf>
    <xf numFmtId="0" fontId="6" fillId="3" borderId="36" xfId="1" quotePrefix="1" applyFont="1" applyFill="1" applyBorder="1" applyAlignment="1">
      <alignment horizontal="justify" vertical="center" wrapText="1"/>
    </xf>
    <xf numFmtId="0" fontId="6" fillId="3" borderId="82" xfId="1" quotePrefix="1" applyFont="1" applyFill="1" applyBorder="1" applyAlignment="1">
      <alignment horizontal="justify" vertical="center" wrapText="1"/>
    </xf>
    <xf numFmtId="4" fontId="2" fillId="3" borderId="40" xfId="1" applyNumberFormat="1" applyFont="1" applyFill="1" applyBorder="1" applyAlignment="1">
      <alignment horizontal="center" vertical="center"/>
    </xf>
    <xf numFmtId="0" fontId="6" fillId="7" borderId="82" xfId="1" quotePrefix="1" applyFont="1" applyFill="1" applyBorder="1" applyAlignment="1">
      <alignment horizontal="justify" vertical="center" wrapText="1"/>
    </xf>
    <xf numFmtId="4" fontId="2" fillId="7" borderId="31" xfId="1" applyNumberFormat="1" applyFont="1" applyFill="1" applyBorder="1" applyAlignment="1">
      <alignment horizontal="center" vertical="center"/>
    </xf>
    <xf numFmtId="0" fontId="6" fillId="5" borderId="83" xfId="1" quotePrefix="1" applyFont="1" applyFill="1" applyBorder="1" applyAlignment="1">
      <alignment horizontal="justify" vertical="center" wrapText="1"/>
    </xf>
    <xf numFmtId="4" fontId="2" fillId="5" borderId="55" xfId="1" applyNumberFormat="1" applyFont="1" applyFill="1" applyBorder="1" applyAlignment="1">
      <alignment horizontal="center" vertical="center"/>
    </xf>
    <xf numFmtId="0" fontId="6" fillId="6" borderId="33" xfId="1" quotePrefix="1" applyFont="1" applyFill="1" applyBorder="1" applyAlignment="1">
      <alignment horizontal="justify" vertical="center" wrapText="1"/>
    </xf>
    <xf numFmtId="0" fontId="6" fillId="0" borderId="36" xfId="1" applyFont="1" applyFill="1" applyBorder="1" applyAlignment="1">
      <alignment horizontal="justify" vertical="center" wrapText="1"/>
    </xf>
    <xf numFmtId="4" fontId="2" fillId="0" borderId="31" xfId="1" applyNumberFormat="1" applyFont="1" applyBorder="1" applyAlignment="1">
      <alignment horizontal="center" vertical="center"/>
    </xf>
    <xf numFmtId="0" fontId="6" fillId="0" borderId="36" xfId="1" applyFont="1" applyBorder="1" applyAlignment="1">
      <alignment horizontal="justify" vertical="center" wrapText="1"/>
    </xf>
    <xf numFmtId="0" fontId="17" fillId="3" borderId="32" xfId="0" applyFont="1" applyFill="1" applyBorder="1" applyAlignment="1">
      <alignment horizontal="left" vertical="center"/>
    </xf>
    <xf numFmtId="0" fontId="2" fillId="3" borderId="17" xfId="1" applyFont="1" applyFill="1" applyBorder="1"/>
    <xf numFmtId="0" fontId="2" fillId="0" borderId="36" xfId="1" quotePrefix="1" applyFont="1" applyFill="1" applyBorder="1" applyAlignment="1">
      <alignment horizontal="justify" vertical="center" wrapText="1"/>
    </xf>
    <xf numFmtId="165" fontId="6" fillId="3" borderId="32" xfId="3" applyNumberFormat="1" applyFont="1" applyFill="1" applyBorder="1" applyAlignment="1" applyProtection="1">
      <alignment horizontal="left" vertical="center" wrapText="1"/>
    </xf>
    <xf numFmtId="0" fontId="2" fillId="3" borderId="36" xfId="1" quotePrefix="1" applyFont="1" applyFill="1" applyBorder="1" applyAlignment="1">
      <alignment horizontal="justify" vertical="center" wrapText="1"/>
    </xf>
    <xf numFmtId="0" fontId="6" fillId="3" borderId="85" xfId="1" applyFont="1" applyFill="1" applyBorder="1" applyAlignment="1">
      <alignment horizontal="justify" vertical="center" wrapText="1"/>
    </xf>
    <xf numFmtId="4" fontId="2" fillId="3" borderId="32" xfId="1" applyNumberFormat="1" applyFont="1" applyFill="1" applyBorder="1" applyAlignment="1">
      <alignment horizontal="center" vertical="center"/>
    </xf>
    <xf numFmtId="4" fontId="2" fillId="0" borderId="16" xfId="1" applyNumberFormat="1" applyFont="1" applyFill="1" applyBorder="1" applyAlignment="1">
      <alignment horizontal="center" vertical="center"/>
    </xf>
    <xf numFmtId="0" fontId="6" fillId="0" borderId="63" xfId="1" quotePrefix="1" applyFont="1" applyBorder="1" applyAlignment="1">
      <alignment vertical="center" wrapText="1"/>
    </xf>
    <xf numFmtId="0" fontId="6" fillId="0" borderId="86" xfId="1" applyFont="1" applyBorder="1" applyAlignment="1">
      <alignment horizontal="center" vertical="center"/>
    </xf>
    <xf numFmtId="0" fontId="6" fillId="2" borderId="87" xfId="1" quotePrefix="1" applyFont="1" applyFill="1" applyBorder="1" applyAlignment="1">
      <alignment horizontal="left" vertical="center" wrapText="1"/>
    </xf>
    <xf numFmtId="0" fontId="6" fillId="2" borderId="17" xfId="1" applyFont="1" applyFill="1" applyBorder="1" applyAlignment="1">
      <alignment horizontal="center" vertical="center"/>
    </xf>
    <xf numFmtId="0" fontId="6" fillId="11" borderId="70" xfId="1" applyFont="1" applyFill="1" applyBorder="1" applyAlignment="1">
      <alignment horizontal="center" vertical="center"/>
    </xf>
    <xf numFmtId="0" fontId="6" fillId="0" borderId="36" xfId="1" quotePrefix="1" applyFont="1" applyFill="1" applyBorder="1" applyAlignment="1">
      <alignment horizontal="justify" vertical="center" wrapText="1"/>
    </xf>
    <xf numFmtId="3" fontId="18" fillId="0" borderId="31" xfId="2" applyNumberFormat="1" applyFont="1" applyFill="1" applyBorder="1" applyAlignment="1">
      <alignment vertical="center" wrapText="1"/>
    </xf>
    <xf numFmtId="3" fontId="18" fillId="0" borderId="31" xfId="2" applyNumberFormat="1" applyFont="1" applyBorder="1" applyAlignment="1">
      <alignment vertical="center" wrapText="1"/>
    </xf>
    <xf numFmtId="3" fontId="18" fillId="0" borderId="64" xfId="2" applyNumberFormat="1" applyFont="1" applyBorder="1" applyAlignment="1">
      <alignment vertical="center" wrapText="1"/>
    </xf>
    <xf numFmtId="2" fontId="2" fillId="0" borderId="0" xfId="1" applyNumberFormat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19" fillId="0" borderId="0" xfId="1" applyFont="1" applyAlignment="1">
      <alignment horizontal="justify" vertical="center" wrapText="1"/>
    </xf>
    <xf numFmtId="3" fontId="19" fillId="0" borderId="0" xfId="1" applyNumberFormat="1" applyFont="1" applyAlignment="1">
      <alignment vertical="center"/>
    </xf>
    <xf numFmtId="0" fontId="19" fillId="0" borderId="0" xfId="1" applyFont="1" applyAlignment="1">
      <alignment horizontal="left" vertical="center" wrapText="1"/>
    </xf>
    <xf numFmtId="3" fontId="19" fillId="0" borderId="0" xfId="1" applyNumberFormat="1" applyFont="1" applyAlignment="1">
      <alignment horizontal="center" vertical="center"/>
    </xf>
    <xf numFmtId="0" fontId="19" fillId="0" borderId="0" xfId="1" applyFont="1" applyAlignment="1">
      <alignment horizontal="center"/>
    </xf>
    <xf numFmtId="0" fontId="44" fillId="0" borderId="0" xfId="1" applyFont="1" applyAlignment="1">
      <alignment horizontal="left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12" borderId="2" xfId="1" applyFont="1" applyFill="1" applyBorder="1" applyAlignment="1">
      <alignment horizontal="center" vertical="center" wrapText="1"/>
    </xf>
    <xf numFmtId="0" fontId="6" fillId="12" borderId="3" xfId="1" applyFont="1" applyFill="1" applyBorder="1" applyAlignment="1">
      <alignment horizontal="center" vertical="center" wrapText="1"/>
    </xf>
    <xf numFmtId="0" fontId="6" fillId="12" borderId="4" xfId="1" applyFont="1" applyFill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84" xfId="3" applyNumberFormat="1" applyFont="1" applyFill="1" applyBorder="1" applyAlignment="1" applyProtection="1">
      <alignment horizontal="left" vertical="center" wrapText="1"/>
    </xf>
    <xf numFmtId="0" fontId="6" fillId="0" borderId="32" xfId="3" applyNumberFormat="1" applyFont="1" applyFill="1" applyBorder="1" applyAlignment="1" applyProtection="1">
      <alignment horizontal="left" vertical="center" wrapText="1"/>
    </xf>
    <xf numFmtId="0" fontId="6" fillId="12" borderId="1" xfId="1" applyFont="1" applyFill="1" applyBorder="1" applyAlignment="1">
      <alignment horizontal="center" vertical="center" wrapText="1"/>
    </xf>
    <xf numFmtId="0" fontId="6" fillId="12" borderId="5" xfId="1" applyFont="1" applyFill="1" applyBorder="1" applyAlignment="1">
      <alignment horizontal="center" vertical="center" wrapText="1"/>
    </xf>
  </cellXfs>
  <cellStyles count="4">
    <cellStyle name="Millares_RECAUDACION A DICIEMBRE 2004" xfId="3" xr:uid="{BDD272B9-0D9F-408A-BFF4-E9B9C686B5B7}"/>
    <cellStyle name="Normal" xfId="0" builtinId="0"/>
    <cellStyle name="Normal 4" xfId="1" xr:uid="{6C59267B-E221-4626-81FF-D8B17DB2C8C8}"/>
    <cellStyle name="Normal_INFORME DIARIO DE CAJA" xfId="2" xr:uid="{FB5B4ED9-33E7-4ECE-9CC7-DA7A3E05B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911E4-3091-45AF-B577-9ABED6821318}">
  <sheetPr>
    <tabColor theme="4"/>
  </sheetPr>
  <dimension ref="A1:BS98"/>
  <sheetViews>
    <sheetView showGridLines="0" tabSelected="1" topLeftCell="A2" zoomScale="49" zoomScaleNormal="49" workbookViewId="0">
      <selection activeCell="BS11" sqref="BS11"/>
    </sheetView>
  </sheetViews>
  <sheetFormatPr baseColWidth="10" defaultColWidth="11.42578125" defaultRowHeight="23.25" x14ac:dyDescent="0.35"/>
  <cols>
    <col min="1" max="1" width="85.5703125" style="1" customWidth="1"/>
    <col min="2" max="2" width="6.5703125" style="1" hidden="1" customWidth="1"/>
    <col min="3" max="3" width="26.85546875" style="1" hidden="1" customWidth="1"/>
    <col min="4" max="4" width="32.7109375" style="1" customWidth="1"/>
    <col min="5" max="5" width="32.5703125" style="1" customWidth="1"/>
    <col min="6" max="6" width="26.42578125" style="1" customWidth="1"/>
    <col min="7" max="7" width="17.140625" style="1" hidden="1" customWidth="1"/>
    <col min="8" max="8" width="22.28515625" style="1" hidden="1" customWidth="1"/>
    <col min="9" max="9" width="19.85546875" style="1" hidden="1" customWidth="1"/>
    <col min="10" max="10" width="17.28515625" style="1" hidden="1" customWidth="1"/>
    <col min="11" max="11" width="27.42578125" style="1" hidden="1" customWidth="1"/>
    <col min="12" max="12" width="16.85546875" style="1" hidden="1" customWidth="1"/>
    <col min="13" max="13" width="16.7109375" style="1" hidden="1" customWidth="1"/>
    <col min="14" max="14" width="20.7109375" style="1" hidden="1" customWidth="1"/>
    <col min="15" max="15" width="26.42578125" style="1" hidden="1" customWidth="1"/>
    <col min="16" max="16" width="25.28515625" style="1" hidden="1" customWidth="1"/>
    <col min="17" max="17" width="31.28515625" style="1" hidden="1" customWidth="1"/>
    <col min="18" max="18" width="27.28515625" style="1" hidden="1" customWidth="1"/>
    <col min="19" max="19" width="26.7109375" style="1" customWidth="1"/>
    <col min="20" max="20" width="19" style="1" hidden="1" customWidth="1"/>
    <col min="21" max="21" width="18.5703125" style="1" hidden="1" customWidth="1"/>
    <col min="22" max="22" width="21.140625" style="1" hidden="1" customWidth="1"/>
    <col min="23" max="23" width="20.140625" style="1" hidden="1" customWidth="1"/>
    <col min="24" max="24" width="20.85546875" style="1" hidden="1" customWidth="1"/>
    <col min="25" max="25" width="23" style="1" hidden="1" customWidth="1"/>
    <col min="26" max="26" width="19.140625" style="1" hidden="1" customWidth="1"/>
    <col min="27" max="27" width="23.28515625" style="1" hidden="1" customWidth="1"/>
    <col min="28" max="28" width="26.42578125" style="1" hidden="1" customWidth="1"/>
    <col min="29" max="29" width="18.7109375" style="1" hidden="1" customWidth="1"/>
    <col min="30" max="30" width="25.85546875" style="1" hidden="1" customWidth="1"/>
    <col min="31" max="31" width="27.42578125" style="1" hidden="1" customWidth="1"/>
    <col min="32" max="32" width="28.85546875" style="1" customWidth="1"/>
    <col min="33" max="33" width="23" style="1" hidden="1" customWidth="1"/>
    <col min="34" max="34" width="24.42578125" style="1" hidden="1" customWidth="1"/>
    <col min="35" max="35" width="24" style="1" hidden="1" customWidth="1"/>
    <col min="36" max="36" width="25" style="1" hidden="1" customWidth="1"/>
    <col min="37" max="37" width="24.140625" style="1" hidden="1" customWidth="1"/>
    <col min="38" max="38" width="24" style="1" hidden="1" customWidth="1"/>
    <col min="39" max="39" width="15.5703125" style="1" hidden="1" customWidth="1"/>
    <col min="40" max="40" width="24.85546875" style="1" hidden="1" customWidth="1"/>
    <col min="41" max="41" width="24.7109375" style="1" hidden="1" customWidth="1"/>
    <col min="42" max="42" width="23.7109375" style="1" hidden="1" customWidth="1"/>
    <col min="43" max="43" width="25.42578125" style="1" hidden="1" customWidth="1"/>
    <col min="44" max="44" width="26.28515625" style="1" hidden="1" customWidth="1"/>
    <col min="45" max="45" width="27.5703125" style="1" customWidth="1"/>
    <col min="46" max="46" width="23.85546875" style="1" hidden="1" customWidth="1"/>
    <col min="47" max="47" width="25.140625" style="1" hidden="1" customWidth="1"/>
    <col min="48" max="48" width="24" style="1" hidden="1" customWidth="1"/>
    <col min="49" max="49" width="22.28515625" style="1" hidden="1" customWidth="1"/>
    <col min="50" max="50" width="26.7109375" style="1" hidden="1" customWidth="1"/>
    <col min="51" max="51" width="24.140625" style="1" hidden="1" customWidth="1"/>
    <col min="52" max="52" width="25.7109375" style="1" hidden="1" customWidth="1"/>
    <col min="53" max="53" width="25.85546875" style="1" hidden="1" customWidth="1"/>
    <col min="54" max="54" width="26.140625" style="1" hidden="1" customWidth="1"/>
    <col min="55" max="55" width="26.85546875" style="1" hidden="1" customWidth="1"/>
    <col min="56" max="56" width="25.5703125" style="1" hidden="1" customWidth="1"/>
    <col min="57" max="57" width="28" style="1" hidden="1" customWidth="1"/>
    <col min="58" max="58" width="28.5703125" style="1" customWidth="1"/>
    <col min="59" max="59" width="25.5703125" style="1" hidden="1" customWidth="1"/>
    <col min="60" max="60" width="26.140625" style="1" hidden="1" customWidth="1"/>
    <col min="61" max="61" width="26.85546875" style="1" hidden="1" customWidth="1"/>
    <col min="62" max="62" width="25.140625" style="1" hidden="1" customWidth="1"/>
    <col min="63" max="63" width="26" style="1" hidden="1" customWidth="1"/>
    <col min="64" max="64" width="27.5703125" style="1" hidden="1" customWidth="1"/>
    <col min="65" max="65" width="25.7109375" style="1" hidden="1" customWidth="1"/>
    <col min="66" max="66" width="27.42578125" style="1" hidden="1" customWidth="1"/>
    <col min="67" max="67" width="26" style="1" hidden="1" customWidth="1"/>
    <col min="68" max="68" width="27.140625" style="1" hidden="1" customWidth="1"/>
    <col min="69" max="70" width="25.42578125" style="1" hidden="1" customWidth="1"/>
    <col min="71" max="71" width="66.42578125" style="1" customWidth="1"/>
    <col min="72" max="16384" width="11.42578125" style="1"/>
  </cols>
  <sheetData>
    <row r="1" spans="1:71" ht="36.75" hidden="1" customHeight="1" thickBot="1" x14ac:dyDescent="0.4"/>
    <row r="2" spans="1:71" ht="36.75" customHeight="1" x14ac:dyDescent="0.3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2"/>
      <c r="AB2" s="3"/>
      <c r="AC2" s="3"/>
      <c r="AE2" s="3"/>
    </row>
    <row r="3" spans="1:71" s="4" customFormat="1" ht="30.6" customHeight="1" x14ac:dyDescent="0.4">
      <c r="A3" s="364" t="s">
        <v>0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4"/>
      <c r="AF3" s="364"/>
      <c r="AG3" s="364"/>
      <c r="AH3" s="364"/>
      <c r="AI3" s="364"/>
      <c r="AJ3" s="364"/>
      <c r="AK3" s="364"/>
      <c r="AL3" s="364"/>
      <c r="AM3" s="364"/>
      <c r="AN3" s="364"/>
      <c r="AO3" s="364"/>
      <c r="AP3" s="364"/>
      <c r="AQ3" s="364"/>
      <c r="AR3" s="364"/>
      <c r="AS3" s="364"/>
      <c r="AT3" s="364"/>
      <c r="AU3" s="364"/>
      <c r="AV3" s="364"/>
      <c r="AW3" s="364"/>
      <c r="AX3" s="364"/>
      <c r="AY3" s="364"/>
      <c r="AZ3" s="364"/>
      <c r="BA3" s="364"/>
      <c r="BB3" s="364"/>
      <c r="BC3" s="364"/>
      <c r="BD3" s="364"/>
      <c r="BE3" s="364"/>
      <c r="BF3" s="364"/>
      <c r="BG3" s="364"/>
      <c r="BH3" s="364"/>
      <c r="BI3" s="364"/>
      <c r="BJ3" s="364"/>
      <c r="BK3" s="364"/>
      <c r="BL3" s="364"/>
      <c r="BM3" s="364"/>
      <c r="BN3" s="364"/>
      <c r="BO3" s="364"/>
      <c r="BP3" s="364"/>
      <c r="BQ3" s="364"/>
      <c r="BR3" s="364"/>
      <c r="BS3" s="364"/>
    </row>
    <row r="4" spans="1:71" s="4" customFormat="1" ht="30.6" customHeight="1" x14ac:dyDescent="0.35">
      <c r="A4" s="365" t="s">
        <v>1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5"/>
      <c r="AF4" s="365"/>
      <c r="AG4" s="365"/>
      <c r="AH4" s="365"/>
      <c r="AI4" s="365"/>
      <c r="AJ4" s="365"/>
      <c r="AK4" s="365"/>
      <c r="AL4" s="365"/>
      <c r="AM4" s="365"/>
      <c r="AN4" s="365"/>
      <c r="AO4" s="365"/>
      <c r="AP4" s="365"/>
      <c r="AQ4" s="365"/>
      <c r="AR4" s="365"/>
      <c r="AS4" s="365"/>
      <c r="AT4" s="365"/>
      <c r="AU4" s="365"/>
      <c r="AV4" s="365"/>
      <c r="AW4" s="365"/>
      <c r="AX4" s="365"/>
      <c r="AY4" s="365"/>
      <c r="AZ4" s="365"/>
      <c r="BA4" s="365"/>
      <c r="BB4" s="365"/>
      <c r="BC4" s="365"/>
      <c r="BD4" s="365"/>
      <c r="BE4" s="365"/>
      <c r="BF4" s="365"/>
      <c r="BG4" s="365"/>
      <c r="BH4" s="365"/>
      <c r="BI4" s="365"/>
      <c r="BJ4" s="365"/>
      <c r="BK4" s="365"/>
      <c r="BL4" s="365"/>
      <c r="BM4" s="365"/>
      <c r="BN4" s="365"/>
      <c r="BO4" s="365"/>
      <c r="BP4" s="365"/>
      <c r="BQ4" s="365"/>
      <c r="BR4" s="365"/>
      <c r="BS4" s="365"/>
    </row>
    <row r="5" spans="1:71" s="4" customFormat="1" ht="30" customHeight="1" x14ac:dyDescent="0.35">
      <c r="A5" s="365" t="s">
        <v>85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365"/>
      <c r="AQ5" s="365"/>
      <c r="AR5" s="365"/>
      <c r="AS5" s="365"/>
      <c r="AT5" s="365"/>
      <c r="AU5" s="365"/>
      <c r="AV5" s="365"/>
      <c r="AW5" s="365"/>
      <c r="AX5" s="365"/>
      <c r="AY5" s="365"/>
      <c r="AZ5" s="365"/>
      <c r="BA5" s="365"/>
      <c r="BB5" s="365"/>
      <c r="BC5" s="365"/>
      <c r="BD5" s="365"/>
      <c r="BE5" s="365"/>
      <c r="BF5" s="365"/>
      <c r="BG5" s="365"/>
      <c r="BH5" s="365"/>
      <c r="BI5" s="365"/>
      <c r="BJ5" s="365"/>
      <c r="BK5" s="365"/>
      <c r="BL5" s="365"/>
      <c r="BM5" s="365"/>
      <c r="BN5" s="365"/>
      <c r="BO5" s="365"/>
      <c r="BP5" s="365"/>
      <c r="BQ5" s="365"/>
      <c r="BR5" s="365"/>
      <c r="BS5" s="365"/>
    </row>
    <row r="6" spans="1:71" s="4" customFormat="1" ht="30.6" customHeight="1" x14ac:dyDescent="0.35">
      <c r="A6" s="366" t="s">
        <v>2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6"/>
      <c r="AN6" s="366"/>
      <c r="AO6" s="366"/>
      <c r="AP6" s="366"/>
      <c r="AQ6" s="366"/>
      <c r="AR6" s="366"/>
      <c r="AS6" s="366"/>
      <c r="AT6" s="366"/>
      <c r="AU6" s="366"/>
      <c r="AV6" s="366"/>
      <c r="AW6" s="366"/>
      <c r="AX6" s="366"/>
      <c r="AY6" s="366"/>
      <c r="AZ6" s="366"/>
      <c r="BA6" s="366"/>
      <c r="BB6" s="366"/>
      <c r="BC6" s="366"/>
      <c r="BD6" s="366"/>
      <c r="BE6" s="366"/>
      <c r="BF6" s="366"/>
      <c r="BG6" s="366"/>
      <c r="BH6" s="366"/>
      <c r="BI6" s="366"/>
      <c r="BJ6" s="366"/>
      <c r="BK6" s="366"/>
      <c r="BL6" s="366"/>
      <c r="BM6" s="366"/>
      <c r="BN6" s="366"/>
      <c r="BO6" s="366"/>
      <c r="BP6" s="366"/>
      <c r="BQ6" s="366"/>
      <c r="BR6" s="366"/>
      <c r="BS6" s="366"/>
    </row>
    <row r="7" spans="1:71" ht="33" customHeight="1" thickBot="1" x14ac:dyDescent="0.4">
      <c r="A7" s="5"/>
      <c r="B7" s="6"/>
      <c r="C7" s="6"/>
      <c r="D7" s="6"/>
    </row>
    <row r="8" spans="1:71" ht="47.25" customHeight="1" thickTop="1" thickBot="1" x14ac:dyDescent="0.4">
      <c r="A8" s="7"/>
      <c r="B8" s="8"/>
      <c r="C8" s="8"/>
      <c r="D8" s="7"/>
      <c r="E8" s="367" t="s">
        <v>3</v>
      </c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368"/>
      <c r="V8" s="368"/>
      <c r="W8" s="368"/>
      <c r="X8" s="368"/>
      <c r="Y8" s="368"/>
      <c r="Z8" s="368"/>
      <c r="AA8" s="368"/>
      <c r="AB8" s="368"/>
      <c r="AC8" s="368"/>
      <c r="AD8" s="368"/>
      <c r="AE8" s="368"/>
      <c r="AF8" s="368"/>
      <c r="AG8" s="368"/>
      <c r="AH8" s="368"/>
      <c r="AI8" s="368"/>
      <c r="AJ8" s="368"/>
      <c r="AK8" s="368"/>
      <c r="AL8" s="368"/>
      <c r="AM8" s="368"/>
      <c r="AN8" s="368"/>
      <c r="AO8" s="368"/>
      <c r="AP8" s="368"/>
      <c r="AQ8" s="368"/>
      <c r="AR8" s="368"/>
      <c r="AS8" s="369"/>
      <c r="AT8" s="289"/>
      <c r="AU8" s="289"/>
      <c r="AV8" s="289"/>
      <c r="AW8" s="289"/>
      <c r="AX8" s="289"/>
      <c r="AY8" s="289"/>
      <c r="AZ8" s="289"/>
      <c r="BA8" s="289"/>
      <c r="BB8" s="289"/>
      <c r="BC8" s="289"/>
      <c r="BD8" s="289"/>
      <c r="BE8" s="290"/>
      <c r="BF8" s="367" t="s">
        <v>4</v>
      </c>
      <c r="BG8" s="368"/>
      <c r="BH8" s="368"/>
      <c r="BI8" s="368"/>
      <c r="BJ8" s="368"/>
      <c r="BK8" s="368"/>
      <c r="BL8" s="368"/>
      <c r="BM8" s="368"/>
      <c r="BN8" s="368"/>
      <c r="BO8" s="368"/>
      <c r="BP8" s="368"/>
      <c r="BQ8" s="368"/>
      <c r="BR8" s="369"/>
      <c r="BS8" s="374" t="s">
        <v>5</v>
      </c>
    </row>
    <row r="9" spans="1:71" ht="44.25" customHeight="1" thickTop="1" thickBot="1" x14ac:dyDescent="0.4">
      <c r="A9" s="292" t="s">
        <v>6</v>
      </c>
      <c r="B9" s="291"/>
      <c r="C9" s="288"/>
      <c r="D9" s="294" t="s">
        <v>7</v>
      </c>
      <c r="E9" s="287" t="s">
        <v>112</v>
      </c>
      <c r="F9" s="367">
        <v>2020</v>
      </c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9"/>
      <c r="S9" s="367">
        <v>2021</v>
      </c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9"/>
      <c r="AF9" s="367">
        <v>2022</v>
      </c>
      <c r="AG9" s="368"/>
      <c r="AH9" s="368"/>
      <c r="AI9" s="368"/>
      <c r="AJ9" s="368"/>
      <c r="AK9" s="368"/>
      <c r="AL9" s="368"/>
      <c r="AM9" s="368"/>
      <c r="AN9" s="368"/>
      <c r="AO9" s="368"/>
      <c r="AP9" s="368"/>
      <c r="AQ9" s="368"/>
      <c r="AR9" s="369"/>
      <c r="AS9" s="367">
        <v>2023</v>
      </c>
      <c r="AT9" s="368"/>
      <c r="AU9" s="368"/>
      <c r="AV9" s="368"/>
      <c r="AW9" s="368"/>
      <c r="AX9" s="368"/>
      <c r="AY9" s="368"/>
      <c r="AZ9" s="368"/>
      <c r="BA9" s="368"/>
      <c r="BB9" s="368"/>
      <c r="BC9" s="368"/>
      <c r="BD9" s="368"/>
      <c r="BE9" s="369"/>
      <c r="BF9" s="367">
        <v>2024</v>
      </c>
      <c r="BG9" s="368"/>
      <c r="BH9" s="368"/>
      <c r="BI9" s="368"/>
      <c r="BJ9" s="368"/>
      <c r="BK9" s="368"/>
      <c r="BL9" s="368"/>
      <c r="BM9" s="368"/>
      <c r="BN9" s="368"/>
      <c r="BO9" s="368"/>
      <c r="BP9" s="368"/>
      <c r="BQ9" s="368"/>
      <c r="BR9" s="369"/>
      <c r="BS9" s="375"/>
    </row>
    <row r="10" spans="1:71" ht="48.75" hidden="1" customHeight="1" thickBot="1" x14ac:dyDescent="0.4">
      <c r="A10" s="370" t="s">
        <v>8</v>
      </c>
      <c r="B10" s="371"/>
      <c r="C10" s="371"/>
      <c r="D10" s="293"/>
      <c r="E10" s="9">
        <f>+E11+E56</f>
        <v>90219194.870000005</v>
      </c>
      <c r="F10" s="9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0"/>
      <c r="R10" s="12"/>
      <c r="S10" s="9"/>
      <c r="T10" s="10"/>
      <c r="U10" s="11"/>
      <c r="V10" s="11"/>
      <c r="W10" s="11"/>
      <c r="X10" s="11"/>
      <c r="Y10" s="13"/>
      <c r="Z10" s="10"/>
      <c r="AA10" s="11"/>
      <c r="AB10" s="11"/>
      <c r="AC10" s="13"/>
      <c r="AD10" s="10"/>
      <c r="AE10" s="14"/>
      <c r="AF10" s="9">
        <f>+AF11+AF56</f>
        <v>19809682.469999999</v>
      </c>
      <c r="AG10" s="15"/>
      <c r="AH10" s="10"/>
      <c r="AI10" s="11"/>
      <c r="AJ10" s="11"/>
      <c r="AK10" s="11"/>
      <c r="AL10" s="11"/>
      <c r="AM10" s="11"/>
      <c r="AN10" s="10"/>
      <c r="AO10" s="11"/>
      <c r="AP10" s="13"/>
      <c r="AQ10" s="10"/>
      <c r="AR10" s="14"/>
      <c r="AS10" s="9">
        <f>+AS11+AS56</f>
        <v>37976252.950000003</v>
      </c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9">
        <f>+BF11+BF56</f>
        <v>149182320.93000001</v>
      </c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6"/>
    </row>
    <row r="11" spans="1:71" ht="51.4" customHeight="1" thickTop="1" thickBot="1" x14ac:dyDescent="0.4">
      <c r="A11" s="314" t="s">
        <v>9</v>
      </c>
      <c r="B11" s="315"/>
      <c r="C11" s="17"/>
      <c r="D11" s="18">
        <f>+E11+BF11</f>
        <v>239392661.34</v>
      </c>
      <c r="E11" s="18">
        <f>+F11+S11+AF11+AS11</f>
        <v>90219194.870000005</v>
      </c>
      <c r="F11" s="18">
        <f t="shared" ref="F11:F43" si="0">SUM(K11:R11)</f>
        <v>13909932.460000001</v>
      </c>
      <c r="G11" s="19">
        <f t="shared" ref="G11:R11" si="1">+G13+G25+G45</f>
        <v>0</v>
      </c>
      <c r="H11" s="20">
        <f t="shared" si="1"/>
        <v>0</v>
      </c>
      <c r="I11" s="20">
        <f t="shared" si="1"/>
        <v>0</v>
      </c>
      <c r="J11" s="20">
        <f t="shared" si="1"/>
        <v>0</v>
      </c>
      <c r="K11" s="23">
        <f t="shared" si="1"/>
        <v>6606519.7999999998</v>
      </c>
      <c r="L11" s="20">
        <f t="shared" si="1"/>
        <v>0</v>
      </c>
      <c r="M11" s="20">
        <f t="shared" si="1"/>
        <v>0</v>
      </c>
      <c r="N11" s="20">
        <f t="shared" si="1"/>
        <v>0</v>
      </c>
      <c r="O11" s="20">
        <f t="shared" si="1"/>
        <v>2218323.19</v>
      </c>
      <c r="P11" s="20">
        <f t="shared" si="1"/>
        <v>0</v>
      </c>
      <c r="Q11" s="20">
        <f t="shared" si="1"/>
        <v>0</v>
      </c>
      <c r="R11" s="21">
        <f t="shared" si="1"/>
        <v>5085089.4700000007</v>
      </c>
      <c r="S11" s="22">
        <f t="shared" ref="S11:S42" si="2">SUM(X11:AE11)</f>
        <v>18523326.990000002</v>
      </c>
      <c r="T11" s="19">
        <f t="shared" ref="T11:AE11" si="3">+T13+T25+T45</f>
        <v>0</v>
      </c>
      <c r="U11" s="20">
        <f t="shared" si="3"/>
        <v>0</v>
      </c>
      <c r="V11" s="20">
        <f t="shared" si="3"/>
        <v>0</v>
      </c>
      <c r="W11" s="20">
        <f t="shared" si="3"/>
        <v>0</v>
      </c>
      <c r="X11" s="23">
        <f t="shared" si="3"/>
        <v>0</v>
      </c>
      <c r="Y11" s="20">
        <f t="shared" si="3"/>
        <v>644309.87</v>
      </c>
      <c r="Z11" s="20">
        <f t="shared" si="3"/>
        <v>0</v>
      </c>
      <c r="AA11" s="20">
        <f t="shared" si="3"/>
        <v>667959.35000000009</v>
      </c>
      <c r="AB11" s="20">
        <f t="shared" si="3"/>
        <v>4199257.7699999996</v>
      </c>
      <c r="AC11" s="20">
        <f t="shared" si="3"/>
        <v>0</v>
      </c>
      <c r="AD11" s="20">
        <f t="shared" si="3"/>
        <v>186500</v>
      </c>
      <c r="AE11" s="20">
        <f t="shared" si="3"/>
        <v>12825300</v>
      </c>
      <c r="AF11" s="18">
        <f t="shared" ref="AF11:AF42" si="4">SUM(AG11:AR11)</f>
        <v>19809682.469999999</v>
      </c>
      <c r="AG11" s="19">
        <f t="shared" ref="AG11:AR11" si="5">+AG13+AG25+AG45</f>
        <v>0</v>
      </c>
      <c r="AH11" s="20">
        <f t="shared" si="5"/>
        <v>0</v>
      </c>
      <c r="AI11" s="20">
        <f t="shared" si="5"/>
        <v>0</v>
      </c>
      <c r="AJ11" s="20">
        <f t="shared" si="5"/>
        <v>0</v>
      </c>
      <c r="AK11" s="20">
        <f t="shared" si="5"/>
        <v>0</v>
      </c>
      <c r="AL11" s="20">
        <f t="shared" si="5"/>
        <v>0</v>
      </c>
      <c r="AM11" s="20">
        <f t="shared" si="5"/>
        <v>0</v>
      </c>
      <c r="AN11" s="23">
        <f t="shared" si="5"/>
        <v>0</v>
      </c>
      <c r="AO11" s="20">
        <f t="shared" si="5"/>
        <v>0</v>
      </c>
      <c r="AP11" s="20">
        <f t="shared" si="5"/>
        <v>1715534.92</v>
      </c>
      <c r="AQ11" s="20">
        <f t="shared" si="5"/>
        <v>100699.71</v>
      </c>
      <c r="AR11" s="24">
        <f t="shared" si="5"/>
        <v>17993447.84</v>
      </c>
      <c r="AS11" s="18">
        <f t="shared" ref="AS11:AS43" si="6">SUM(AT11:BE11)</f>
        <v>37976252.950000003</v>
      </c>
      <c r="AT11" s="19">
        <f t="shared" ref="AT11:BE11" si="7">+AT13+AT25+AT45</f>
        <v>0</v>
      </c>
      <c r="AU11" s="20">
        <f t="shared" si="7"/>
        <v>0</v>
      </c>
      <c r="AV11" s="20">
        <f t="shared" si="7"/>
        <v>0</v>
      </c>
      <c r="AW11" s="20">
        <f t="shared" si="7"/>
        <v>0</v>
      </c>
      <c r="AX11" s="20">
        <f t="shared" si="7"/>
        <v>759337.66999999993</v>
      </c>
      <c r="AY11" s="20">
        <f t="shared" si="7"/>
        <v>522257.72</v>
      </c>
      <c r="AZ11" s="20">
        <f t="shared" si="7"/>
        <v>775811.39</v>
      </c>
      <c r="BA11" s="23">
        <f t="shared" si="7"/>
        <v>1150853.54</v>
      </c>
      <c r="BB11" s="20">
        <f t="shared" si="7"/>
        <v>1998320.53</v>
      </c>
      <c r="BC11" s="20">
        <f t="shared" si="7"/>
        <v>12212825.5</v>
      </c>
      <c r="BD11" s="20">
        <f t="shared" si="7"/>
        <v>1209737.03</v>
      </c>
      <c r="BE11" s="24">
        <f t="shared" si="7"/>
        <v>19347109.57</v>
      </c>
      <c r="BF11" s="18">
        <f>SUM(BG11:BR11)</f>
        <v>149173466.47</v>
      </c>
      <c r="BG11" s="19">
        <f t="shared" ref="BG11:BR11" si="8">+BG13+BG25+BG45</f>
        <v>0</v>
      </c>
      <c r="BH11" s="20">
        <f t="shared" si="8"/>
        <v>0</v>
      </c>
      <c r="BI11" s="20">
        <f t="shared" si="8"/>
        <v>11792049.529999999</v>
      </c>
      <c r="BJ11" s="20">
        <f t="shared" si="8"/>
        <v>19603754.530000001</v>
      </c>
      <c r="BK11" s="20">
        <f t="shared" si="8"/>
        <v>29986539.949999996</v>
      </c>
      <c r="BL11" s="20">
        <f t="shared" si="8"/>
        <v>44302511.850000001</v>
      </c>
      <c r="BM11" s="20">
        <f t="shared" si="8"/>
        <v>30644930.609999999</v>
      </c>
      <c r="BN11" s="23">
        <f t="shared" si="8"/>
        <v>12843680</v>
      </c>
      <c r="BO11" s="20">
        <f t="shared" si="8"/>
        <v>0</v>
      </c>
      <c r="BP11" s="20">
        <f t="shared" si="8"/>
        <v>0</v>
      </c>
      <c r="BQ11" s="20">
        <f t="shared" si="8"/>
        <v>0</v>
      </c>
      <c r="BR11" s="24">
        <f t="shared" si="8"/>
        <v>0</v>
      </c>
      <c r="BS11" s="25"/>
    </row>
    <row r="12" spans="1:71" ht="64.5" hidden="1" customHeight="1" x14ac:dyDescent="0.35">
      <c r="A12" s="316" t="s">
        <v>10</v>
      </c>
      <c r="B12" s="317"/>
      <c r="C12" s="296"/>
      <c r="D12" s="26">
        <f>+E12+AF12</f>
        <v>0</v>
      </c>
      <c r="E12" s="27">
        <f>+F12+S12</f>
        <v>0</v>
      </c>
      <c r="F12" s="26">
        <f t="shared" si="0"/>
        <v>0</v>
      </c>
      <c r="G12" s="28"/>
      <c r="H12" s="29"/>
      <c r="I12" s="29"/>
      <c r="J12" s="29"/>
      <c r="K12" s="29"/>
      <c r="L12" s="29"/>
      <c r="M12" s="29"/>
      <c r="N12" s="30"/>
      <c r="O12" s="30"/>
      <c r="P12" s="30"/>
      <c r="Q12" s="31"/>
      <c r="R12" s="32"/>
      <c r="S12" s="33">
        <f t="shared" si="2"/>
        <v>0</v>
      </c>
      <c r="T12" s="28"/>
      <c r="U12" s="29"/>
      <c r="V12" s="29"/>
      <c r="W12" s="29"/>
      <c r="X12" s="29"/>
      <c r="Y12" s="34"/>
      <c r="Z12" s="28"/>
      <c r="AA12" s="30"/>
      <c r="AB12" s="30"/>
      <c r="AC12" s="35"/>
      <c r="AD12" s="31"/>
      <c r="AE12" s="36"/>
      <c r="AF12" s="33">
        <f t="shared" si="4"/>
        <v>0</v>
      </c>
      <c r="AG12" s="37"/>
      <c r="AH12" s="28"/>
      <c r="AI12" s="29"/>
      <c r="AJ12" s="29"/>
      <c r="AK12" s="29"/>
      <c r="AL12" s="29"/>
      <c r="AM12" s="29"/>
      <c r="AN12" s="31"/>
      <c r="AO12" s="30"/>
      <c r="AP12" s="35"/>
      <c r="AQ12" s="31"/>
      <c r="AR12" s="36"/>
      <c r="AS12" s="33">
        <f t="shared" si="6"/>
        <v>0</v>
      </c>
      <c r="AT12" s="37"/>
      <c r="AU12" s="28"/>
      <c r="AV12" s="29"/>
      <c r="AW12" s="29"/>
      <c r="AX12" s="29"/>
      <c r="AY12" s="29"/>
      <c r="AZ12" s="29"/>
      <c r="BA12" s="31"/>
      <c r="BB12" s="30"/>
      <c r="BC12" s="35"/>
      <c r="BD12" s="31"/>
      <c r="BE12" s="36"/>
      <c r="BF12" s="33">
        <f>SUM(BG12:BS12)</f>
        <v>0</v>
      </c>
      <c r="BG12" s="37"/>
      <c r="BH12" s="28"/>
      <c r="BI12" s="29"/>
      <c r="BJ12" s="29"/>
      <c r="BK12" s="29"/>
      <c r="BL12" s="29"/>
      <c r="BM12" s="29"/>
      <c r="BN12" s="31"/>
      <c r="BO12" s="30"/>
      <c r="BP12" s="35"/>
      <c r="BQ12" s="31"/>
      <c r="BR12" s="36"/>
      <c r="BS12" s="38"/>
    </row>
    <row r="13" spans="1:71" ht="49.7" customHeight="1" x14ac:dyDescent="0.35">
      <c r="A13" s="318" t="s">
        <v>11</v>
      </c>
      <c r="B13" s="319"/>
      <c r="C13" s="297"/>
      <c r="D13" s="39">
        <f t="shared" ref="D13:D23" si="9">+E13+BF13</f>
        <v>137888701.5</v>
      </c>
      <c r="E13" s="39">
        <f t="shared" ref="E13:E23" si="10">+F13+S13+AF13+AS13</f>
        <v>58130455.170000002</v>
      </c>
      <c r="F13" s="39">
        <f t="shared" si="0"/>
        <v>4183214.6500000004</v>
      </c>
      <c r="G13" s="40">
        <f t="shared" ref="G13:R13" si="11">+G14+G18+G20</f>
        <v>0</v>
      </c>
      <c r="H13" s="40">
        <f t="shared" si="11"/>
        <v>0</v>
      </c>
      <c r="I13" s="40">
        <f t="shared" si="11"/>
        <v>0</v>
      </c>
      <c r="J13" s="40">
        <f t="shared" si="11"/>
        <v>0</v>
      </c>
      <c r="K13" s="40">
        <f t="shared" si="11"/>
        <v>0</v>
      </c>
      <c r="L13" s="40">
        <f t="shared" si="11"/>
        <v>0</v>
      </c>
      <c r="M13" s="40">
        <f t="shared" si="11"/>
        <v>0</v>
      </c>
      <c r="N13" s="40">
        <f t="shared" si="11"/>
        <v>0</v>
      </c>
      <c r="O13" s="40">
        <f t="shared" si="11"/>
        <v>0</v>
      </c>
      <c r="P13" s="40">
        <f t="shared" si="11"/>
        <v>0</v>
      </c>
      <c r="Q13" s="40">
        <f t="shared" si="11"/>
        <v>0</v>
      </c>
      <c r="R13" s="40">
        <f t="shared" si="11"/>
        <v>4183214.6500000004</v>
      </c>
      <c r="S13" s="39">
        <f t="shared" si="2"/>
        <v>12631000</v>
      </c>
      <c r="T13" s="40">
        <f t="shared" ref="T13:AE13" si="12">+T14+T18+T20</f>
        <v>0</v>
      </c>
      <c r="U13" s="40">
        <f t="shared" si="12"/>
        <v>0</v>
      </c>
      <c r="V13" s="40">
        <f t="shared" si="12"/>
        <v>0</v>
      </c>
      <c r="W13" s="40">
        <f t="shared" si="12"/>
        <v>0</v>
      </c>
      <c r="X13" s="40">
        <f t="shared" si="12"/>
        <v>0</v>
      </c>
      <c r="Y13" s="40">
        <f t="shared" si="12"/>
        <v>0</v>
      </c>
      <c r="Z13" s="40">
        <f t="shared" si="12"/>
        <v>0</v>
      </c>
      <c r="AA13" s="40">
        <f t="shared" si="12"/>
        <v>0</v>
      </c>
      <c r="AB13" s="40">
        <f t="shared" si="12"/>
        <v>0</v>
      </c>
      <c r="AC13" s="40">
        <f t="shared" si="12"/>
        <v>0</v>
      </c>
      <c r="AD13" s="40">
        <f t="shared" si="12"/>
        <v>0</v>
      </c>
      <c r="AE13" s="40">
        <f t="shared" si="12"/>
        <v>12631000</v>
      </c>
      <c r="AF13" s="39">
        <f t="shared" si="4"/>
        <v>11300000</v>
      </c>
      <c r="AG13" s="40">
        <f t="shared" ref="AG13:AR13" si="13">+AG14+AG18+AG20</f>
        <v>0</v>
      </c>
      <c r="AH13" s="40">
        <f t="shared" si="13"/>
        <v>0</v>
      </c>
      <c r="AI13" s="40">
        <f t="shared" si="13"/>
        <v>0</v>
      </c>
      <c r="AJ13" s="40">
        <f t="shared" si="13"/>
        <v>0</v>
      </c>
      <c r="AK13" s="40">
        <f t="shared" si="13"/>
        <v>0</v>
      </c>
      <c r="AL13" s="40">
        <f t="shared" si="13"/>
        <v>0</v>
      </c>
      <c r="AM13" s="40">
        <f t="shared" si="13"/>
        <v>0</v>
      </c>
      <c r="AN13" s="40">
        <f t="shared" si="13"/>
        <v>0</v>
      </c>
      <c r="AO13" s="40">
        <f t="shared" si="13"/>
        <v>0</v>
      </c>
      <c r="AP13" s="40">
        <f t="shared" si="13"/>
        <v>0</v>
      </c>
      <c r="AQ13" s="40">
        <f t="shared" si="13"/>
        <v>0</v>
      </c>
      <c r="AR13" s="40">
        <f t="shared" si="13"/>
        <v>11300000</v>
      </c>
      <c r="AS13" s="39">
        <f t="shared" si="6"/>
        <v>30016240.520000003</v>
      </c>
      <c r="AT13" s="40">
        <f t="shared" ref="AT13:BE13" si="14">+AT14+AT18+AT20</f>
        <v>0</v>
      </c>
      <c r="AU13" s="40">
        <f t="shared" si="14"/>
        <v>0</v>
      </c>
      <c r="AV13" s="40">
        <f t="shared" si="14"/>
        <v>0</v>
      </c>
      <c r="AW13" s="40">
        <f t="shared" si="14"/>
        <v>0</v>
      </c>
      <c r="AX13" s="40">
        <f t="shared" si="14"/>
        <v>551207.96</v>
      </c>
      <c r="AY13" s="40">
        <f t="shared" si="14"/>
        <v>522257.72</v>
      </c>
      <c r="AZ13" s="40">
        <f t="shared" si="14"/>
        <v>775811.39</v>
      </c>
      <c r="BA13" s="40">
        <f t="shared" si="14"/>
        <v>935869.57</v>
      </c>
      <c r="BB13" s="40">
        <f t="shared" si="14"/>
        <v>598590.25</v>
      </c>
      <c r="BC13" s="40">
        <f t="shared" si="14"/>
        <v>12212825.5</v>
      </c>
      <c r="BD13" s="40">
        <f t="shared" si="14"/>
        <v>999942.64</v>
      </c>
      <c r="BE13" s="40">
        <f t="shared" si="14"/>
        <v>13419735.49</v>
      </c>
      <c r="BF13" s="39">
        <f t="shared" ref="BF13:BF23" si="15">SUM(BG13:BR13)</f>
        <v>79758246.330000013</v>
      </c>
      <c r="BG13" s="40">
        <f t="shared" ref="BG13:BR13" si="16">+BG14+BG18+BG20</f>
        <v>0</v>
      </c>
      <c r="BH13" s="40">
        <f t="shared" si="16"/>
        <v>0</v>
      </c>
      <c r="BI13" s="40">
        <f t="shared" si="16"/>
        <v>0</v>
      </c>
      <c r="BJ13" s="40">
        <f t="shared" si="16"/>
        <v>13068865.58</v>
      </c>
      <c r="BK13" s="40">
        <f t="shared" si="16"/>
        <v>13658657.909999998</v>
      </c>
      <c r="BL13" s="40">
        <f t="shared" si="16"/>
        <v>25296846.240000002</v>
      </c>
      <c r="BM13" s="40">
        <f t="shared" si="16"/>
        <v>14890196.600000001</v>
      </c>
      <c r="BN13" s="40">
        <f t="shared" si="16"/>
        <v>12843680</v>
      </c>
      <c r="BO13" s="40">
        <f t="shared" si="16"/>
        <v>0</v>
      </c>
      <c r="BP13" s="40">
        <f t="shared" si="16"/>
        <v>0</v>
      </c>
      <c r="BQ13" s="40">
        <f t="shared" si="16"/>
        <v>0</v>
      </c>
      <c r="BR13" s="40">
        <f t="shared" si="16"/>
        <v>0</v>
      </c>
      <c r="BS13" s="41"/>
    </row>
    <row r="14" spans="1:71" s="49" customFormat="1" ht="46.7" customHeight="1" x14ac:dyDescent="0.35">
      <c r="A14" s="320" t="s">
        <v>12</v>
      </c>
      <c r="B14" s="321"/>
      <c r="C14" s="298"/>
      <c r="D14" s="42">
        <f t="shared" si="9"/>
        <v>92454103.429999992</v>
      </c>
      <c r="E14" s="42">
        <f t="shared" si="10"/>
        <v>29794560.84</v>
      </c>
      <c r="F14" s="42">
        <f t="shared" si="0"/>
        <v>2300223.37</v>
      </c>
      <c r="G14" s="43">
        <f t="shared" ref="G14:R14" si="17">+G15+G16+G17</f>
        <v>0</v>
      </c>
      <c r="H14" s="43">
        <f t="shared" si="17"/>
        <v>0</v>
      </c>
      <c r="I14" s="43">
        <f t="shared" si="17"/>
        <v>0</v>
      </c>
      <c r="J14" s="43">
        <f t="shared" si="17"/>
        <v>0</v>
      </c>
      <c r="K14" s="43">
        <f t="shared" si="17"/>
        <v>0</v>
      </c>
      <c r="L14" s="43">
        <f t="shared" si="17"/>
        <v>0</v>
      </c>
      <c r="M14" s="43">
        <f t="shared" si="17"/>
        <v>0</v>
      </c>
      <c r="N14" s="43">
        <f t="shared" si="17"/>
        <v>0</v>
      </c>
      <c r="O14" s="44">
        <f t="shared" si="17"/>
        <v>0</v>
      </c>
      <c r="P14" s="44">
        <f t="shared" si="17"/>
        <v>0</v>
      </c>
      <c r="Q14" s="43">
        <f t="shared" si="17"/>
        <v>0</v>
      </c>
      <c r="R14" s="45">
        <f t="shared" si="17"/>
        <v>2300223.37</v>
      </c>
      <c r="S14" s="42">
        <f t="shared" si="2"/>
        <v>4000</v>
      </c>
      <c r="T14" s="43">
        <f t="shared" ref="T14:AE14" si="18">+T15+T16+T17</f>
        <v>0</v>
      </c>
      <c r="U14" s="43">
        <f t="shared" si="18"/>
        <v>0</v>
      </c>
      <c r="V14" s="43">
        <f t="shared" si="18"/>
        <v>0</v>
      </c>
      <c r="W14" s="43">
        <f t="shared" si="18"/>
        <v>0</v>
      </c>
      <c r="X14" s="43">
        <f t="shared" si="18"/>
        <v>0</v>
      </c>
      <c r="Y14" s="43">
        <f t="shared" si="18"/>
        <v>0</v>
      </c>
      <c r="Z14" s="43">
        <f t="shared" si="18"/>
        <v>0</v>
      </c>
      <c r="AA14" s="43">
        <f t="shared" si="18"/>
        <v>0</v>
      </c>
      <c r="AB14" s="43">
        <f t="shared" si="18"/>
        <v>0</v>
      </c>
      <c r="AC14" s="43">
        <f t="shared" si="18"/>
        <v>0</v>
      </c>
      <c r="AD14" s="43">
        <f t="shared" si="18"/>
        <v>0</v>
      </c>
      <c r="AE14" s="46">
        <f t="shared" si="18"/>
        <v>4000</v>
      </c>
      <c r="AF14" s="42">
        <f t="shared" si="4"/>
        <v>11300000</v>
      </c>
      <c r="AG14" s="47">
        <f t="shared" ref="AG14:AR14" si="19">+AG15+AG16+AG17</f>
        <v>0</v>
      </c>
      <c r="AH14" s="43">
        <f t="shared" si="19"/>
        <v>0</v>
      </c>
      <c r="AI14" s="44">
        <f t="shared" si="19"/>
        <v>0</v>
      </c>
      <c r="AJ14" s="43">
        <f t="shared" si="19"/>
        <v>0</v>
      </c>
      <c r="AK14" s="44">
        <f t="shared" si="19"/>
        <v>0</v>
      </c>
      <c r="AL14" s="44">
        <f t="shared" si="19"/>
        <v>0</v>
      </c>
      <c r="AM14" s="43">
        <f t="shared" si="19"/>
        <v>0</v>
      </c>
      <c r="AN14" s="43">
        <f t="shared" si="19"/>
        <v>0</v>
      </c>
      <c r="AO14" s="44">
        <f t="shared" si="19"/>
        <v>0</v>
      </c>
      <c r="AP14" s="44">
        <f t="shared" si="19"/>
        <v>0</v>
      </c>
      <c r="AQ14" s="44">
        <f t="shared" si="19"/>
        <v>0</v>
      </c>
      <c r="AR14" s="43">
        <f t="shared" si="19"/>
        <v>11300000</v>
      </c>
      <c r="AS14" s="42">
        <f t="shared" si="6"/>
        <v>16190337.469999999</v>
      </c>
      <c r="AT14" s="47">
        <f t="shared" ref="AT14:BE14" si="20">+AT15+AT16+AT17</f>
        <v>0</v>
      </c>
      <c r="AU14" s="43">
        <f t="shared" si="20"/>
        <v>0</v>
      </c>
      <c r="AV14" s="44">
        <f t="shared" si="20"/>
        <v>0</v>
      </c>
      <c r="AW14" s="44">
        <f t="shared" si="20"/>
        <v>0</v>
      </c>
      <c r="AX14" s="44">
        <f t="shared" si="20"/>
        <v>551207.96</v>
      </c>
      <c r="AY14" s="44">
        <f t="shared" si="20"/>
        <v>522257.72</v>
      </c>
      <c r="AZ14" s="44">
        <f t="shared" si="20"/>
        <v>775811.39</v>
      </c>
      <c r="BA14" s="43">
        <f t="shared" si="20"/>
        <v>935869.57</v>
      </c>
      <c r="BB14" s="43">
        <f t="shared" si="20"/>
        <v>598590.25</v>
      </c>
      <c r="BC14" s="43">
        <f t="shared" si="20"/>
        <v>11712393.77</v>
      </c>
      <c r="BD14" s="43">
        <f t="shared" si="20"/>
        <v>542528.77</v>
      </c>
      <c r="BE14" s="46">
        <f t="shared" si="20"/>
        <v>551678.04</v>
      </c>
      <c r="BF14" s="42">
        <f t="shared" si="15"/>
        <v>62659542.589999996</v>
      </c>
      <c r="BG14" s="47">
        <f t="shared" ref="BG14:BR14" si="21">+BG15+BG16+BG17</f>
        <v>0</v>
      </c>
      <c r="BH14" s="43">
        <f t="shared" si="21"/>
        <v>0</v>
      </c>
      <c r="BI14" s="44">
        <f t="shared" si="21"/>
        <v>0</v>
      </c>
      <c r="BJ14" s="44">
        <f t="shared" si="21"/>
        <v>12531862.34</v>
      </c>
      <c r="BK14" s="44">
        <f t="shared" si="21"/>
        <v>12847841.289999999</v>
      </c>
      <c r="BL14" s="44">
        <f t="shared" si="21"/>
        <v>12443915.24</v>
      </c>
      <c r="BM14" s="44">
        <f t="shared" si="21"/>
        <v>12981743.720000001</v>
      </c>
      <c r="BN14" s="43">
        <f t="shared" si="21"/>
        <v>11854180</v>
      </c>
      <c r="BO14" s="43">
        <f t="shared" si="21"/>
        <v>0</v>
      </c>
      <c r="BP14" s="43">
        <f t="shared" si="21"/>
        <v>0</v>
      </c>
      <c r="BQ14" s="43">
        <f t="shared" si="21"/>
        <v>0</v>
      </c>
      <c r="BR14" s="46">
        <f t="shared" si="21"/>
        <v>0</v>
      </c>
      <c r="BS14" s="48"/>
    </row>
    <row r="15" spans="1:71" s="49" customFormat="1" ht="52.5" customHeight="1" x14ac:dyDescent="0.35">
      <c r="A15" s="322" t="s">
        <v>13</v>
      </c>
      <c r="B15" s="323"/>
      <c r="C15" s="299"/>
      <c r="D15" s="50">
        <f t="shared" si="9"/>
        <v>81660740</v>
      </c>
      <c r="E15" s="50">
        <f t="shared" si="10"/>
        <v>22427340</v>
      </c>
      <c r="F15" s="50">
        <f t="shared" si="0"/>
        <v>0</v>
      </c>
      <c r="G15" s="51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3"/>
      <c r="S15" s="54">
        <f t="shared" si="2"/>
        <v>0</v>
      </c>
      <c r="T15" s="55"/>
      <c r="U15" s="56"/>
      <c r="V15" s="57"/>
      <c r="W15" s="57"/>
      <c r="X15" s="58"/>
      <c r="Y15" s="58"/>
      <c r="Z15" s="59"/>
      <c r="AA15" s="59"/>
      <c r="AB15" s="58"/>
      <c r="AC15" s="58"/>
      <c r="AD15" s="58"/>
      <c r="AE15" s="58"/>
      <c r="AF15" s="60">
        <f t="shared" si="4"/>
        <v>11300000</v>
      </c>
      <c r="AG15" s="61"/>
      <c r="AH15" s="61"/>
      <c r="AI15" s="61"/>
      <c r="AJ15" s="61"/>
      <c r="AK15" s="62"/>
      <c r="AL15" s="62"/>
      <c r="AM15" s="62"/>
      <c r="AN15" s="62"/>
      <c r="AO15" s="62"/>
      <c r="AP15" s="62"/>
      <c r="AQ15" s="62"/>
      <c r="AR15" s="62">
        <f>11300000</f>
        <v>11300000</v>
      </c>
      <c r="AS15" s="60">
        <f t="shared" si="6"/>
        <v>11127340</v>
      </c>
      <c r="AT15" s="61"/>
      <c r="AU15" s="61"/>
      <c r="AV15" s="61"/>
      <c r="AW15" s="61"/>
      <c r="AX15" s="61"/>
      <c r="AY15" s="61"/>
      <c r="AZ15" s="61"/>
      <c r="BA15" s="61"/>
      <c r="BB15" s="61"/>
      <c r="BC15" s="193">
        <f>11127340</f>
        <v>11127340</v>
      </c>
      <c r="BD15" s="61"/>
      <c r="BE15" s="61"/>
      <c r="BF15" s="60">
        <f t="shared" si="15"/>
        <v>59233400</v>
      </c>
      <c r="BG15" s="61"/>
      <c r="BH15" s="61"/>
      <c r="BI15" s="61"/>
      <c r="BJ15" s="61">
        <f>11846680</f>
        <v>11846680</v>
      </c>
      <c r="BK15" s="61">
        <f>11846680</f>
        <v>11846680</v>
      </c>
      <c r="BL15" s="61">
        <f>11846680</f>
        <v>11846680</v>
      </c>
      <c r="BM15" s="61">
        <f>11846680</f>
        <v>11846680</v>
      </c>
      <c r="BN15" s="61">
        <f>11846680</f>
        <v>11846680</v>
      </c>
      <c r="BO15" s="62"/>
      <c r="BP15" s="62"/>
      <c r="BQ15" s="62"/>
      <c r="BR15" s="62"/>
      <c r="BS15" s="84" t="s">
        <v>90</v>
      </c>
    </row>
    <row r="16" spans="1:71" s="49" customFormat="1" ht="71.25" customHeight="1" x14ac:dyDescent="0.35">
      <c r="A16" s="322" t="s">
        <v>14</v>
      </c>
      <c r="B16" s="324">
        <v>8000</v>
      </c>
      <c r="C16" s="131" t="s">
        <v>15</v>
      </c>
      <c r="D16" s="50">
        <f t="shared" si="9"/>
        <v>11500</v>
      </c>
      <c r="E16" s="50">
        <f t="shared" si="10"/>
        <v>4000</v>
      </c>
      <c r="F16" s="50">
        <f t="shared" si="0"/>
        <v>0</v>
      </c>
      <c r="G16" s="51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3"/>
      <c r="S16" s="64">
        <f t="shared" si="2"/>
        <v>4000</v>
      </c>
      <c r="T16" s="55"/>
      <c r="U16" s="56"/>
      <c r="V16" s="59"/>
      <c r="W16" s="59"/>
      <c r="X16" s="59"/>
      <c r="Y16" s="58"/>
      <c r="Z16" s="59"/>
      <c r="AA16" s="58"/>
      <c r="AB16" s="58"/>
      <c r="AC16" s="58"/>
      <c r="AD16" s="65"/>
      <c r="AE16" s="198">
        <f>4000</f>
        <v>4000</v>
      </c>
      <c r="AF16" s="60">
        <f t="shared" si="4"/>
        <v>0</v>
      </c>
      <c r="AG16" s="67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0">
        <f t="shared" si="6"/>
        <v>0</v>
      </c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0">
        <f t="shared" si="15"/>
        <v>7500</v>
      </c>
      <c r="BG16" s="61"/>
      <c r="BH16" s="61"/>
      <c r="BI16" s="61"/>
      <c r="BJ16" s="61"/>
      <c r="BK16" s="61"/>
      <c r="BL16" s="61"/>
      <c r="BM16" s="61"/>
      <c r="BN16" s="61">
        <f>7500</f>
        <v>7500</v>
      </c>
      <c r="BO16" s="61"/>
      <c r="BP16" s="61"/>
      <c r="BQ16" s="61"/>
      <c r="BR16" s="61"/>
      <c r="BS16" s="84" t="s">
        <v>91</v>
      </c>
    </row>
    <row r="17" spans="1:71" s="49" customFormat="1" ht="72.75" customHeight="1" x14ac:dyDescent="0.35">
      <c r="A17" s="325" t="s">
        <v>16</v>
      </c>
      <c r="B17" s="324"/>
      <c r="C17" s="131"/>
      <c r="D17" s="50">
        <f t="shared" si="9"/>
        <v>10781863.43</v>
      </c>
      <c r="E17" s="50">
        <f t="shared" si="10"/>
        <v>7363220.8399999999</v>
      </c>
      <c r="F17" s="50">
        <f t="shared" si="0"/>
        <v>2300223.37</v>
      </c>
      <c r="G17" s="51"/>
      <c r="H17" s="52"/>
      <c r="I17" s="52"/>
      <c r="J17" s="52"/>
      <c r="K17" s="52"/>
      <c r="L17" s="52"/>
      <c r="M17" s="52"/>
      <c r="N17" s="52"/>
      <c r="O17" s="52"/>
      <c r="P17" s="68"/>
      <c r="Q17" s="51"/>
      <c r="R17" s="195">
        <f>2300223.37</f>
        <v>2300223.37</v>
      </c>
      <c r="S17" s="64">
        <f t="shared" si="2"/>
        <v>0</v>
      </c>
      <c r="T17" s="55"/>
      <c r="U17" s="56"/>
      <c r="V17" s="59"/>
      <c r="W17" s="59"/>
      <c r="X17" s="59"/>
      <c r="Y17" s="58"/>
      <c r="Z17" s="58"/>
      <c r="AA17" s="58"/>
      <c r="AB17" s="58"/>
      <c r="AC17" s="1"/>
      <c r="AD17" s="58"/>
      <c r="AE17" s="66"/>
      <c r="AF17" s="70">
        <f t="shared" si="4"/>
        <v>0</v>
      </c>
      <c r="AG17" s="67"/>
      <c r="AH17" s="61"/>
      <c r="AI17" s="61"/>
      <c r="AJ17" s="62"/>
      <c r="AK17" s="62"/>
      <c r="AL17" s="62"/>
      <c r="AM17" s="62"/>
      <c r="AN17" s="62"/>
      <c r="AO17" s="61"/>
      <c r="AP17" s="61"/>
      <c r="AQ17" s="61"/>
      <c r="AR17" s="61"/>
      <c r="AS17" s="70">
        <f t="shared" si="6"/>
        <v>5062997.47</v>
      </c>
      <c r="AT17" s="61"/>
      <c r="AU17" s="61"/>
      <c r="AV17" s="61"/>
      <c r="AW17" s="61"/>
      <c r="AX17" s="193">
        <f>551207.96</f>
        <v>551207.96</v>
      </c>
      <c r="AY17" s="193">
        <f>522257.72</f>
        <v>522257.72</v>
      </c>
      <c r="AZ17" s="193">
        <f>775811.39</f>
        <v>775811.39</v>
      </c>
      <c r="BA17" s="193">
        <f>935869.57</f>
        <v>935869.57</v>
      </c>
      <c r="BB17" s="193">
        <f>598590.25</f>
        <v>598590.25</v>
      </c>
      <c r="BC17" s="193">
        <f>585053.77</f>
        <v>585053.77</v>
      </c>
      <c r="BD17" s="193">
        <f>542528.77</f>
        <v>542528.77</v>
      </c>
      <c r="BE17" s="195">
        <f>551678.04</f>
        <v>551678.04</v>
      </c>
      <c r="BF17" s="60">
        <f t="shared" si="15"/>
        <v>3418642.59</v>
      </c>
      <c r="BG17" s="61"/>
      <c r="BH17" s="61"/>
      <c r="BI17" s="61"/>
      <c r="BJ17" s="61">
        <f>685182.34</f>
        <v>685182.34</v>
      </c>
      <c r="BK17" s="193">
        <f>1001161.29</f>
        <v>1001161.29</v>
      </c>
      <c r="BL17" s="193">
        <f>597235.24</f>
        <v>597235.24</v>
      </c>
      <c r="BM17" s="193">
        <f>1135063.72</f>
        <v>1135063.72</v>
      </c>
      <c r="BN17" s="62"/>
      <c r="BO17" s="62"/>
      <c r="BP17" s="62"/>
      <c r="BQ17" s="62"/>
      <c r="BR17" s="69"/>
      <c r="BS17" s="84" t="s">
        <v>89</v>
      </c>
    </row>
    <row r="18" spans="1:71" s="49" customFormat="1" ht="40.5" customHeight="1" x14ac:dyDescent="0.35">
      <c r="A18" s="326" t="s">
        <v>17</v>
      </c>
      <c r="B18" s="327">
        <v>6250000</v>
      </c>
      <c r="C18" s="300" t="s">
        <v>18</v>
      </c>
      <c r="D18" s="71">
        <f t="shared" si="9"/>
        <v>18750000</v>
      </c>
      <c r="E18" s="71">
        <f t="shared" si="10"/>
        <v>12500000</v>
      </c>
      <c r="F18" s="71">
        <f t="shared" si="0"/>
        <v>0</v>
      </c>
      <c r="G18" s="72">
        <f t="shared" ref="G18:R18" si="22">SUM(G19:G19)</f>
        <v>0</v>
      </c>
      <c r="H18" s="72">
        <f t="shared" si="22"/>
        <v>0</v>
      </c>
      <c r="I18" s="72">
        <f t="shared" si="22"/>
        <v>0</v>
      </c>
      <c r="J18" s="72">
        <f t="shared" si="22"/>
        <v>0</v>
      </c>
      <c r="K18" s="72">
        <f t="shared" si="22"/>
        <v>0</v>
      </c>
      <c r="L18" s="72">
        <f t="shared" si="22"/>
        <v>0</v>
      </c>
      <c r="M18" s="72">
        <f t="shared" si="22"/>
        <v>0</v>
      </c>
      <c r="N18" s="72">
        <f t="shared" si="22"/>
        <v>0</v>
      </c>
      <c r="O18" s="73">
        <f t="shared" si="22"/>
        <v>0</v>
      </c>
      <c r="P18" s="73">
        <f t="shared" si="22"/>
        <v>0</v>
      </c>
      <c r="Q18" s="72">
        <f t="shared" si="22"/>
        <v>0</v>
      </c>
      <c r="R18" s="74">
        <f t="shared" si="22"/>
        <v>0</v>
      </c>
      <c r="S18" s="71">
        <f t="shared" si="2"/>
        <v>6250000</v>
      </c>
      <c r="T18" s="72">
        <f t="shared" ref="T18:AE18" si="23">SUM(T19:T19)</f>
        <v>0</v>
      </c>
      <c r="U18" s="72">
        <f t="shared" si="23"/>
        <v>0</v>
      </c>
      <c r="V18" s="72">
        <f t="shared" si="23"/>
        <v>0</v>
      </c>
      <c r="W18" s="72">
        <f t="shared" si="23"/>
        <v>0</v>
      </c>
      <c r="X18" s="72">
        <f t="shared" si="23"/>
        <v>0</v>
      </c>
      <c r="Y18" s="72">
        <f t="shared" si="23"/>
        <v>0</v>
      </c>
      <c r="Z18" s="73">
        <f t="shared" si="23"/>
        <v>0</v>
      </c>
      <c r="AA18" s="73">
        <f t="shared" si="23"/>
        <v>0</v>
      </c>
      <c r="AB18" s="73">
        <f t="shared" si="23"/>
        <v>0</v>
      </c>
      <c r="AC18" s="73">
        <f t="shared" si="23"/>
        <v>0</v>
      </c>
      <c r="AD18" s="73">
        <f t="shared" si="23"/>
        <v>0</v>
      </c>
      <c r="AE18" s="75">
        <f t="shared" si="23"/>
        <v>6250000</v>
      </c>
      <c r="AF18" s="71">
        <f t="shared" si="4"/>
        <v>0</v>
      </c>
      <c r="AG18" s="76">
        <f t="shared" ref="AG18:AR18" si="24">SUM(AG19:AG19)</f>
        <v>0</v>
      </c>
      <c r="AH18" s="72">
        <f t="shared" si="24"/>
        <v>0</v>
      </c>
      <c r="AI18" s="73">
        <f t="shared" si="24"/>
        <v>0</v>
      </c>
      <c r="AJ18" s="73">
        <f t="shared" si="24"/>
        <v>0</v>
      </c>
      <c r="AK18" s="73">
        <f t="shared" si="24"/>
        <v>0</v>
      </c>
      <c r="AL18" s="73">
        <f t="shared" si="24"/>
        <v>0</v>
      </c>
      <c r="AM18" s="73">
        <f t="shared" si="24"/>
        <v>0</v>
      </c>
      <c r="AN18" s="72">
        <f t="shared" si="24"/>
        <v>0</v>
      </c>
      <c r="AO18" s="73">
        <f t="shared" si="24"/>
        <v>0</v>
      </c>
      <c r="AP18" s="73">
        <f t="shared" si="24"/>
        <v>0</v>
      </c>
      <c r="AQ18" s="73">
        <f t="shared" si="24"/>
        <v>0</v>
      </c>
      <c r="AR18" s="75">
        <f t="shared" si="24"/>
        <v>0</v>
      </c>
      <c r="AS18" s="71">
        <f t="shared" si="6"/>
        <v>6250000</v>
      </c>
      <c r="AT18" s="76">
        <f t="shared" ref="AT18:BE18" si="25">SUM(AT19:AT19)</f>
        <v>0</v>
      </c>
      <c r="AU18" s="72">
        <f t="shared" si="25"/>
        <v>0</v>
      </c>
      <c r="AV18" s="73">
        <f t="shared" si="25"/>
        <v>0</v>
      </c>
      <c r="AW18" s="73">
        <f t="shared" si="25"/>
        <v>0</v>
      </c>
      <c r="AX18" s="73">
        <f t="shared" si="25"/>
        <v>0</v>
      </c>
      <c r="AY18" s="73">
        <f t="shared" si="25"/>
        <v>0</v>
      </c>
      <c r="AZ18" s="73">
        <f t="shared" si="25"/>
        <v>0</v>
      </c>
      <c r="BA18" s="72">
        <f t="shared" si="25"/>
        <v>0</v>
      </c>
      <c r="BB18" s="73">
        <f t="shared" si="25"/>
        <v>0</v>
      </c>
      <c r="BC18" s="73">
        <f t="shared" si="25"/>
        <v>0</v>
      </c>
      <c r="BD18" s="73">
        <f t="shared" si="25"/>
        <v>0</v>
      </c>
      <c r="BE18" s="75">
        <f t="shared" si="25"/>
        <v>6250000</v>
      </c>
      <c r="BF18" s="71">
        <f t="shared" si="15"/>
        <v>6250000</v>
      </c>
      <c r="BG18" s="76">
        <f t="shared" ref="BG18:BR18" si="26">SUM(BG19:BG19)</f>
        <v>0</v>
      </c>
      <c r="BH18" s="72">
        <f t="shared" si="26"/>
        <v>0</v>
      </c>
      <c r="BI18" s="73">
        <f t="shared" si="26"/>
        <v>0</v>
      </c>
      <c r="BJ18" s="73">
        <f t="shared" si="26"/>
        <v>0</v>
      </c>
      <c r="BK18" s="73">
        <f t="shared" si="26"/>
        <v>0</v>
      </c>
      <c r="BL18" s="73">
        <f t="shared" si="26"/>
        <v>6250000</v>
      </c>
      <c r="BM18" s="73">
        <f t="shared" si="26"/>
        <v>0</v>
      </c>
      <c r="BN18" s="72">
        <f t="shared" si="26"/>
        <v>0</v>
      </c>
      <c r="BO18" s="73">
        <f t="shared" si="26"/>
        <v>0</v>
      </c>
      <c r="BP18" s="73">
        <f t="shared" si="26"/>
        <v>0</v>
      </c>
      <c r="BQ18" s="73">
        <f t="shared" si="26"/>
        <v>0</v>
      </c>
      <c r="BR18" s="75">
        <f t="shared" si="26"/>
        <v>0</v>
      </c>
      <c r="BS18" s="77"/>
    </row>
    <row r="19" spans="1:71" s="49" customFormat="1" ht="97.5" customHeight="1" x14ac:dyDescent="0.35">
      <c r="A19" s="328" t="s">
        <v>19</v>
      </c>
      <c r="B19" s="324"/>
      <c r="C19" s="131"/>
      <c r="D19" s="50">
        <f t="shared" si="9"/>
        <v>18750000</v>
      </c>
      <c r="E19" s="50">
        <f t="shared" si="10"/>
        <v>12500000</v>
      </c>
      <c r="F19" s="50">
        <f t="shared" si="0"/>
        <v>0</v>
      </c>
      <c r="G19" s="51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3"/>
      <c r="S19" s="50">
        <f t="shared" si="2"/>
        <v>6250000</v>
      </c>
      <c r="T19" s="51"/>
      <c r="U19" s="52"/>
      <c r="V19" s="78"/>
      <c r="W19" s="57"/>
      <c r="X19" s="57"/>
      <c r="Y19" s="57"/>
      <c r="Z19" s="58"/>
      <c r="AA19" s="62"/>
      <c r="AB19" s="58"/>
      <c r="AC19" s="62"/>
      <c r="AD19" s="79"/>
      <c r="AE19" s="283">
        <f>6250000</f>
        <v>6250000</v>
      </c>
      <c r="AF19" s="50">
        <f t="shared" si="4"/>
        <v>0</v>
      </c>
      <c r="AG19" s="81"/>
      <c r="AH19" s="51"/>
      <c r="AI19" s="61"/>
      <c r="AJ19" s="57"/>
      <c r="AK19" s="57"/>
      <c r="AL19" s="62"/>
      <c r="AM19" s="62"/>
      <c r="AN19" s="79"/>
      <c r="AO19" s="62"/>
      <c r="AP19" s="62"/>
      <c r="AQ19" s="62"/>
      <c r="AR19" s="82"/>
      <c r="AS19" s="83">
        <f t="shared" si="6"/>
        <v>6250000</v>
      </c>
      <c r="AT19" s="65"/>
      <c r="AU19" s="68"/>
      <c r="AV19" s="62"/>
      <c r="AW19" s="62"/>
      <c r="AX19" s="62"/>
      <c r="AY19" s="61"/>
      <c r="AZ19" s="62"/>
      <c r="BA19" s="62"/>
      <c r="BB19" s="61"/>
      <c r="BC19" s="68"/>
      <c r="BD19" s="68"/>
      <c r="BE19" s="62">
        <f>6250000</f>
        <v>6250000</v>
      </c>
      <c r="BF19" s="83">
        <f t="shared" si="15"/>
        <v>6250000</v>
      </c>
      <c r="BG19" s="65"/>
      <c r="BH19" s="68"/>
      <c r="BI19" s="269"/>
      <c r="BJ19" s="62"/>
      <c r="BK19" s="62"/>
      <c r="BL19" s="193">
        <f>6250000</f>
        <v>6250000</v>
      </c>
      <c r="BM19" s="62"/>
      <c r="BN19" s="62"/>
      <c r="BO19" s="62"/>
      <c r="BP19" s="68"/>
      <c r="BQ19" s="68"/>
      <c r="BR19" s="62"/>
      <c r="BS19" s="84" t="s">
        <v>81</v>
      </c>
    </row>
    <row r="20" spans="1:71" s="49" customFormat="1" ht="43.5" customHeight="1" x14ac:dyDescent="0.35">
      <c r="A20" s="326" t="s">
        <v>20</v>
      </c>
      <c r="B20" s="327"/>
      <c r="C20" s="300"/>
      <c r="D20" s="71">
        <f t="shared" si="9"/>
        <v>26684598.07</v>
      </c>
      <c r="E20" s="71">
        <f t="shared" si="10"/>
        <v>15835894.33</v>
      </c>
      <c r="F20" s="71">
        <f t="shared" si="0"/>
        <v>1882991.28</v>
      </c>
      <c r="G20" s="72">
        <f t="shared" ref="G20:R20" si="27">+G21+G22+G23</f>
        <v>0</v>
      </c>
      <c r="H20" s="72">
        <f t="shared" si="27"/>
        <v>0</v>
      </c>
      <c r="I20" s="72">
        <f t="shared" si="27"/>
        <v>0</v>
      </c>
      <c r="J20" s="72">
        <f t="shared" si="27"/>
        <v>0</v>
      </c>
      <c r="K20" s="72">
        <f t="shared" si="27"/>
        <v>0</v>
      </c>
      <c r="L20" s="72">
        <f t="shared" si="27"/>
        <v>0</v>
      </c>
      <c r="M20" s="72">
        <f t="shared" si="27"/>
        <v>0</v>
      </c>
      <c r="N20" s="72">
        <f t="shared" si="27"/>
        <v>0</v>
      </c>
      <c r="O20" s="72">
        <f t="shared" si="27"/>
        <v>0</v>
      </c>
      <c r="P20" s="72">
        <f t="shared" si="27"/>
        <v>0</v>
      </c>
      <c r="Q20" s="72">
        <f t="shared" si="27"/>
        <v>0</v>
      </c>
      <c r="R20" s="72">
        <f t="shared" si="27"/>
        <v>1882991.28</v>
      </c>
      <c r="S20" s="71">
        <f t="shared" si="2"/>
        <v>6377000</v>
      </c>
      <c r="T20" s="72">
        <f t="shared" ref="T20:AE20" si="28">+T21+T22+T23</f>
        <v>0</v>
      </c>
      <c r="U20" s="72">
        <f t="shared" si="28"/>
        <v>0</v>
      </c>
      <c r="V20" s="85">
        <f t="shared" si="28"/>
        <v>0</v>
      </c>
      <c r="W20" s="85">
        <f t="shared" si="28"/>
        <v>0</v>
      </c>
      <c r="X20" s="85">
        <f t="shared" si="28"/>
        <v>0</v>
      </c>
      <c r="Y20" s="85">
        <f t="shared" si="28"/>
        <v>0</v>
      </c>
      <c r="Z20" s="85">
        <f t="shared" si="28"/>
        <v>0</v>
      </c>
      <c r="AA20" s="85">
        <f t="shared" si="28"/>
        <v>0</v>
      </c>
      <c r="AB20" s="85">
        <f t="shared" si="28"/>
        <v>0</v>
      </c>
      <c r="AC20" s="85">
        <f t="shared" si="28"/>
        <v>0</v>
      </c>
      <c r="AD20" s="85">
        <f t="shared" si="28"/>
        <v>0</v>
      </c>
      <c r="AE20" s="85">
        <f t="shared" si="28"/>
        <v>6377000</v>
      </c>
      <c r="AF20" s="71">
        <f t="shared" si="4"/>
        <v>0</v>
      </c>
      <c r="AG20" s="72">
        <f t="shared" ref="AG20:AR20" si="29">+AG21+AG22+AG23</f>
        <v>0</v>
      </c>
      <c r="AH20" s="72">
        <f t="shared" si="29"/>
        <v>0</v>
      </c>
      <c r="AI20" s="72">
        <f t="shared" si="29"/>
        <v>0</v>
      </c>
      <c r="AJ20" s="72">
        <f t="shared" si="29"/>
        <v>0</v>
      </c>
      <c r="AK20" s="72">
        <f t="shared" si="29"/>
        <v>0</v>
      </c>
      <c r="AL20" s="72">
        <f t="shared" si="29"/>
        <v>0</v>
      </c>
      <c r="AM20" s="72">
        <f t="shared" si="29"/>
        <v>0</v>
      </c>
      <c r="AN20" s="72">
        <f t="shared" si="29"/>
        <v>0</v>
      </c>
      <c r="AO20" s="72">
        <f t="shared" si="29"/>
        <v>0</v>
      </c>
      <c r="AP20" s="72">
        <f t="shared" si="29"/>
        <v>0</v>
      </c>
      <c r="AQ20" s="72">
        <f t="shared" si="29"/>
        <v>0</v>
      </c>
      <c r="AR20" s="72">
        <f t="shared" si="29"/>
        <v>0</v>
      </c>
      <c r="AS20" s="71">
        <f t="shared" si="6"/>
        <v>7575903.0499999998</v>
      </c>
      <c r="AT20" s="72">
        <f t="shared" ref="AT20:BE20" si="30">+AT21+AT22+AT23</f>
        <v>0</v>
      </c>
      <c r="AU20" s="72">
        <f t="shared" si="30"/>
        <v>0</v>
      </c>
      <c r="AV20" s="85">
        <f t="shared" si="30"/>
        <v>0</v>
      </c>
      <c r="AW20" s="85">
        <f t="shared" si="30"/>
        <v>0</v>
      </c>
      <c r="AX20" s="85">
        <f t="shared" si="30"/>
        <v>0</v>
      </c>
      <c r="AY20" s="85">
        <f t="shared" si="30"/>
        <v>0</v>
      </c>
      <c r="AZ20" s="85">
        <f t="shared" si="30"/>
        <v>0</v>
      </c>
      <c r="BA20" s="85">
        <f t="shared" si="30"/>
        <v>0</v>
      </c>
      <c r="BB20" s="85">
        <f t="shared" si="30"/>
        <v>0</v>
      </c>
      <c r="BC20" s="72">
        <f t="shared" si="30"/>
        <v>500431.73</v>
      </c>
      <c r="BD20" s="72">
        <f t="shared" si="30"/>
        <v>457413.87</v>
      </c>
      <c r="BE20" s="72">
        <f t="shared" si="30"/>
        <v>6618057.4500000002</v>
      </c>
      <c r="BF20" s="71">
        <f t="shared" si="15"/>
        <v>10848703.739999998</v>
      </c>
      <c r="BG20" s="72">
        <f t="shared" ref="BG20:BR20" si="31">+BG21+BG22+BG23</f>
        <v>0</v>
      </c>
      <c r="BH20" s="72">
        <f t="shared" si="31"/>
        <v>0</v>
      </c>
      <c r="BI20" s="72">
        <f t="shared" si="31"/>
        <v>0</v>
      </c>
      <c r="BJ20" s="72">
        <f t="shared" si="31"/>
        <v>537003.24</v>
      </c>
      <c r="BK20" s="72">
        <f t="shared" si="31"/>
        <v>810816.62</v>
      </c>
      <c r="BL20" s="72">
        <f t="shared" si="31"/>
        <v>6602931</v>
      </c>
      <c r="BM20" s="72">
        <f t="shared" si="31"/>
        <v>1908452.88</v>
      </c>
      <c r="BN20" s="72">
        <f t="shared" si="31"/>
        <v>989500</v>
      </c>
      <c r="BO20" s="72">
        <f t="shared" si="31"/>
        <v>0</v>
      </c>
      <c r="BP20" s="72">
        <f t="shared" si="31"/>
        <v>0</v>
      </c>
      <c r="BQ20" s="72">
        <f t="shared" si="31"/>
        <v>0</v>
      </c>
      <c r="BR20" s="72">
        <f t="shared" si="31"/>
        <v>0</v>
      </c>
      <c r="BS20" s="254"/>
    </row>
    <row r="21" spans="1:71" s="49" customFormat="1" ht="84" customHeight="1" x14ac:dyDescent="0.35">
      <c r="A21" s="329" t="s">
        <v>21</v>
      </c>
      <c r="B21" s="330">
        <v>5125000</v>
      </c>
      <c r="C21" s="301" t="s">
        <v>22</v>
      </c>
      <c r="D21" s="50">
        <f t="shared" si="9"/>
        <v>15375000</v>
      </c>
      <c r="E21" s="83">
        <f t="shared" si="10"/>
        <v>10250000</v>
      </c>
      <c r="F21" s="86">
        <f t="shared" si="0"/>
        <v>0</v>
      </c>
      <c r="G21" s="51"/>
      <c r="H21" s="68"/>
      <c r="I21" s="52"/>
      <c r="J21" s="52"/>
      <c r="K21" s="68"/>
      <c r="L21" s="52"/>
      <c r="M21" s="52"/>
      <c r="N21" s="68"/>
      <c r="O21" s="52"/>
      <c r="P21" s="52"/>
      <c r="Q21" s="68"/>
      <c r="R21" s="53"/>
      <c r="S21" s="86">
        <f t="shared" si="2"/>
        <v>5125000</v>
      </c>
      <c r="T21" s="51"/>
      <c r="U21" s="56"/>
      <c r="V21" s="62">
        <v>0</v>
      </c>
      <c r="W21" s="62"/>
      <c r="X21" s="62"/>
      <c r="Y21" s="58"/>
      <c r="Z21" s="79"/>
      <c r="AA21" s="62"/>
      <c r="AB21" s="58"/>
      <c r="AC21" s="62"/>
      <c r="AD21" s="79"/>
      <c r="AE21" s="283">
        <f>5125000</f>
        <v>5125000</v>
      </c>
      <c r="AF21" s="50">
        <f t="shared" si="4"/>
        <v>0</v>
      </c>
      <c r="AG21" s="81"/>
      <c r="AH21" s="55"/>
      <c r="AI21" s="58"/>
      <c r="AJ21" s="68"/>
      <c r="AK21" s="68"/>
      <c r="AL21" s="62"/>
      <c r="AM21" s="68"/>
      <c r="AN21" s="65"/>
      <c r="AO21" s="62"/>
      <c r="AP21" s="62"/>
      <c r="AQ21" s="62"/>
      <c r="AR21" s="82"/>
      <c r="AS21" s="50">
        <f t="shared" si="6"/>
        <v>5125000</v>
      </c>
      <c r="AT21" s="65"/>
      <c r="AU21" s="68"/>
      <c r="AV21" s="62"/>
      <c r="AW21" s="62"/>
      <c r="AX21" s="62"/>
      <c r="AY21" s="62"/>
      <c r="AZ21" s="62"/>
      <c r="BA21" s="62"/>
      <c r="BB21" s="61"/>
      <c r="BC21" s="68"/>
      <c r="BD21" s="68"/>
      <c r="BE21" s="62">
        <f>5125000</f>
        <v>5125000</v>
      </c>
      <c r="BF21" s="192">
        <f t="shared" si="15"/>
        <v>5125000</v>
      </c>
      <c r="BG21" s="65"/>
      <c r="BH21" s="68"/>
      <c r="BI21" s="61"/>
      <c r="BJ21" s="62"/>
      <c r="BK21" s="62"/>
      <c r="BL21" s="62">
        <f>5125000</f>
        <v>5125000</v>
      </c>
      <c r="BM21" s="62"/>
      <c r="BN21" s="62"/>
      <c r="BO21" s="62"/>
      <c r="BP21" s="68"/>
      <c r="BQ21" s="68"/>
      <c r="BR21" s="62"/>
      <c r="BS21" s="84" t="s">
        <v>80</v>
      </c>
    </row>
    <row r="22" spans="1:71" s="49" customFormat="1" ht="74.25" customHeight="1" x14ac:dyDescent="0.35">
      <c r="A22" s="329" t="s">
        <v>23</v>
      </c>
      <c r="B22" s="330"/>
      <c r="C22" s="301"/>
      <c r="D22" s="50">
        <f t="shared" si="9"/>
        <v>6021598.0700000003</v>
      </c>
      <c r="E22" s="50">
        <f t="shared" si="10"/>
        <v>3266394.33</v>
      </c>
      <c r="F22" s="50">
        <f t="shared" si="0"/>
        <v>1875991.28</v>
      </c>
      <c r="G22" s="51"/>
      <c r="H22" s="68"/>
      <c r="I22" s="52"/>
      <c r="J22" s="52"/>
      <c r="K22" s="52"/>
      <c r="L22" s="52"/>
      <c r="M22" s="52"/>
      <c r="N22" s="52"/>
      <c r="O22" s="52"/>
      <c r="P22" s="52"/>
      <c r="Q22" s="51"/>
      <c r="R22" s="282">
        <f>1875991.28</f>
        <v>1875991.28</v>
      </c>
      <c r="S22" s="88">
        <f t="shared" si="2"/>
        <v>0</v>
      </c>
      <c r="T22" s="55"/>
      <c r="U22" s="56"/>
      <c r="V22" s="56"/>
      <c r="W22" s="59"/>
      <c r="X22" s="58"/>
      <c r="Y22" s="58"/>
      <c r="Z22" s="58"/>
      <c r="AA22" s="58"/>
      <c r="AB22" s="58"/>
      <c r="AC22" s="1"/>
      <c r="AD22" s="58"/>
      <c r="AE22" s="58"/>
      <c r="AF22" s="70">
        <f t="shared" si="4"/>
        <v>0</v>
      </c>
      <c r="AG22" s="58"/>
      <c r="AH22" s="58"/>
      <c r="AI22" s="58"/>
      <c r="AJ22" s="58"/>
      <c r="AK22" s="62"/>
      <c r="AL22" s="62"/>
      <c r="AM22" s="62"/>
      <c r="AN22" s="62"/>
      <c r="AO22" s="58"/>
      <c r="AP22" s="62"/>
      <c r="AQ22" s="62"/>
      <c r="AR22" s="62"/>
      <c r="AS22" s="70">
        <f t="shared" si="6"/>
        <v>1390403.05</v>
      </c>
      <c r="AT22" s="61"/>
      <c r="AU22" s="61"/>
      <c r="AV22" s="61"/>
      <c r="AW22" s="61"/>
      <c r="AX22" s="61"/>
      <c r="AY22" s="61"/>
      <c r="AZ22" s="61"/>
      <c r="BA22" s="61"/>
      <c r="BB22" s="269"/>
      <c r="BC22" s="193">
        <f>500431.73</f>
        <v>500431.73</v>
      </c>
      <c r="BD22" s="193">
        <f>457413.87</f>
        <v>457413.87</v>
      </c>
      <c r="BE22" s="195">
        <f>432557.45</f>
        <v>432557.45</v>
      </c>
      <c r="BF22" s="199">
        <f t="shared" si="15"/>
        <v>2755203.7399999998</v>
      </c>
      <c r="BG22" s="61"/>
      <c r="BH22" s="61"/>
      <c r="BI22" s="61"/>
      <c r="BJ22" s="269">
        <f>537003.24</f>
        <v>537003.24</v>
      </c>
      <c r="BK22" s="193">
        <f>810816.62</f>
        <v>810816.62</v>
      </c>
      <c r="BL22" s="269">
        <f>488431</f>
        <v>488431</v>
      </c>
      <c r="BM22" s="193">
        <f>918952.88</f>
        <v>918952.88</v>
      </c>
      <c r="BN22" s="62"/>
      <c r="BO22" s="62"/>
      <c r="BP22" s="62"/>
      <c r="BQ22" s="62"/>
      <c r="BR22" s="69"/>
      <c r="BS22" s="84" t="s">
        <v>88</v>
      </c>
    </row>
    <row r="23" spans="1:71" s="49" customFormat="1" ht="82.5" customHeight="1" thickBot="1" x14ac:dyDescent="0.4">
      <c r="A23" s="325" t="s">
        <v>24</v>
      </c>
      <c r="B23" s="330"/>
      <c r="C23" s="301"/>
      <c r="D23" s="50">
        <f t="shared" si="9"/>
        <v>5288000</v>
      </c>
      <c r="E23" s="50">
        <f t="shared" si="10"/>
        <v>2319500</v>
      </c>
      <c r="F23" s="89">
        <f t="shared" si="0"/>
        <v>7000</v>
      </c>
      <c r="G23" s="90"/>
      <c r="H23" s="91"/>
      <c r="I23" s="92"/>
      <c r="J23" s="92"/>
      <c r="K23" s="92"/>
      <c r="L23" s="92"/>
      <c r="M23" s="92"/>
      <c r="N23" s="92"/>
      <c r="O23" s="92"/>
      <c r="P23" s="52"/>
      <c r="Q23" s="51"/>
      <c r="R23" s="282">
        <f>7000</f>
        <v>7000</v>
      </c>
      <c r="S23" s="64">
        <f t="shared" si="2"/>
        <v>1252000</v>
      </c>
      <c r="T23" s="55"/>
      <c r="U23" s="56"/>
      <c r="V23" s="56"/>
      <c r="W23" s="56"/>
      <c r="X23" s="59"/>
      <c r="Y23" s="59"/>
      <c r="Z23" s="58"/>
      <c r="AA23" s="58"/>
      <c r="AB23" s="58"/>
      <c r="AC23" s="58"/>
      <c r="AD23" s="65"/>
      <c r="AE23" s="198">
        <f>1252000</f>
        <v>1252000</v>
      </c>
      <c r="AF23" s="70">
        <f t="shared" si="4"/>
        <v>0</v>
      </c>
      <c r="AG23" s="58"/>
      <c r="AH23" s="58"/>
      <c r="AI23" s="58"/>
      <c r="AJ23" s="58"/>
      <c r="AK23" s="58"/>
      <c r="AL23" s="62"/>
      <c r="AM23" s="62"/>
      <c r="AN23" s="62"/>
      <c r="AO23" s="62"/>
      <c r="AP23" s="62"/>
      <c r="AQ23" s="62"/>
      <c r="AR23" s="62"/>
      <c r="AS23" s="70">
        <f t="shared" si="6"/>
        <v>1060500</v>
      </c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5">
        <f>1060500</f>
        <v>1060500</v>
      </c>
      <c r="BF23" s="199">
        <f t="shared" si="15"/>
        <v>2968500</v>
      </c>
      <c r="BG23" s="61"/>
      <c r="BH23" s="61"/>
      <c r="BI23" s="61"/>
      <c r="BJ23" s="61"/>
      <c r="BK23" s="269"/>
      <c r="BL23" s="269">
        <f>989500</f>
        <v>989500</v>
      </c>
      <c r="BM23" s="269">
        <f>989500</f>
        <v>989500</v>
      </c>
      <c r="BN23" s="269">
        <f>989500</f>
        <v>989500</v>
      </c>
      <c r="BO23" s="65"/>
      <c r="BP23" s="65"/>
      <c r="BQ23" s="65"/>
      <c r="BR23" s="65"/>
      <c r="BS23" s="84" t="s">
        <v>92</v>
      </c>
    </row>
    <row r="24" spans="1:71" ht="9" hidden="1" customHeight="1" thickBot="1" x14ac:dyDescent="0.4">
      <c r="A24" s="331"/>
      <c r="B24" s="332"/>
      <c r="C24" s="302"/>
      <c r="D24" s="93">
        <f>+E24+AF24</f>
        <v>0</v>
      </c>
      <c r="E24" s="93">
        <f>+F24+S24</f>
        <v>0</v>
      </c>
      <c r="F24" s="93">
        <f t="shared" si="0"/>
        <v>0</v>
      </c>
      <c r="G24" s="94"/>
      <c r="H24" s="95"/>
      <c r="I24" s="95"/>
      <c r="J24" s="95"/>
      <c r="K24" s="96"/>
      <c r="L24" s="95"/>
      <c r="M24" s="95"/>
      <c r="N24" s="95"/>
      <c r="O24" s="97"/>
      <c r="P24" s="98"/>
      <c r="Q24" s="99"/>
      <c r="R24" s="100"/>
      <c r="S24" s="101">
        <f t="shared" si="2"/>
        <v>0</v>
      </c>
      <c r="T24" s="94"/>
      <c r="U24" s="95"/>
      <c r="V24" s="102"/>
      <c r="W24" s="102"/>
      <c r="X24" s="102"/>
      <c r="Y24" s="103"/>
      <c r="Z24" s="104"/>
      <c r="AA24" s="102"/>
      <c r="AB24" s="97"/>
      <c r="AC24" s="105"/>
      <c r="AD24" s="99"/>
      <c r="AE24" s="105"/>
      <c r="AF24" s="94">
        <f t="shared" si="4"/>
        <v>0</v>
      </c>
      <c r="AG24" s="94"/>
      <c r="AH24" s="106"/>
      <c r="AI24" s="103"/>
      <c r="AJ24" s="104"/>
      <c r="AK24" s="102"/>
      <c r="AL24" s="102"/>
      <c r="AM24" s="102"/>
      <c r="AN24" s="104"/>
      <c r="AO24" s="97"/>
      <c r="AP24" s="107"/>
      <c r="AQ24" s="99"/>
      <c r="AR24" s="105"/>
      <c r="AS24" s="108">
        <f t="shared" si="6"/>
        <v>0</v>
      </c>
      <c r="AT24" s="94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109"/>
      <c r="BF24" s="108">
        <f>SUM(BG24:BS24)</f>
        <v>0</v>
      </c>
      <c r="BG24" s="94"/>
      <c r="BH24" s="97"/>
      <c r="BI24" s="97"/>
      <c r="BJ24" s="97"/>
      <c r="BK24" s="97"/>
      <c r="BL24" s="97"/>
      <c r="BM24" s="97"/>
      <c r="BN24" s="97"/>
      <c r="BO24" s="97"/>
      <c r="BP24" s="97"/>
      <c r="BQ24" s="97"/>
      <c r="BR24" s="109"/>
      <c r="BS24" s="110"/>
    </row>
    <row r="25" spans="1:71" ht="43.5" customHeight="1" x14ac:dyDescent="0.35">
      <c r="A25" s="333" t="s">
        <v>25</v>
      </c>
      <c r="B25" s="334"/>
      <c r="C25" s="303"/>
      <c r="D25" s="111">
        <f>+E25+BF25</f>
        <v>88822628.420000002</v>
      </c>
      <c r="E25" s="111">
        <f t="shared" ref="E25:E43" si="32">+F25+S25+AF25+AS25</f>
        <v>25843604.93</v>
      </c>
      <c r="F25" s="111">
        <f t="shared" si="0"/>
        <v>9726717.8100000005</v>
      </c>
      <c r="G25" s="112">
        <f t="shared" ref="G25:R25" si="33">+G26+G42</f>
        <v>0</v>
      </c>
      <c r="H25" s="113">
        <f t="shared" si="33"/>
        <v>0</v>
      </c>
      <c r="I25" s="113">
        <f t="shared" si="33"/>
        <v>0</v>
      </c>
      <c r="J25" s="113">
        <f t="shared" si="33"/>
        <v>0</v>
      </c>
      <c r="K25" s="114">
        <f t="shared" si="33"/>
        <v>6606519.7999999998</v>
      </c>
      <c r="L25" s="115">
        <f t="shared" si="33"/>
        <v>0</v>
      </c>
      <c r="M25" s="115">
        <f t="shared" si="33"/>
        <v>0</v>
      </c>
      <c r="N25" s="115">
        <f t="shared" si="33"/>
        <v>0</v>
      </c>
      <c r="O25" s="115">
        <f t="shared" si="33"/>
        <v>2218323.19</v>
      </c>
      <c r="P25" s="115">
        <f t="shared" si="33"/>
        <v>0</v>
      </c>
      <c r="Q25" s="116">
        <f t="shared" si="33"/>
        <v>0</v>
      </c>
      <c r="R25" s="117">
        <f t="shared" si="33"/>
        <v>901874.82</v>
      </c>
      <c r="S25" s="111">
        <f t="shared" si="2"/>
        <v>380800</v>
      </c>
      <c r="T25" s="118">
        <f t="shared" ref="T25:AE25" si="34">+T26+T42</f>
        <v>0</v>
      </c>
      <c r="U25" s="115">
        <f t="shared" si="34"/>
        <v>0</v>
      </c>
      <c r="V25" s="115">
        <f t="shared" si="34"/>
        <v>0</v>
      </c>
      <c r="W25" s="115">
        <f t="shared" si="34"/>
        <v>0</v>
      </c>
      <c r="X25" s="116">
        <f t="shared" si="34"/>
        <v>0</v>
      </c>
      <c r="Y25" s="115">
        <f t="shared" si="34"/>
        <v>0</v>
      </c>
      <c r="Z25" s="115">
        <f t="shared" si="34"/>
        <v>0</v>
      </c>
      <c r="AA25" s="115">
        <f t="shared" si="34"/>
        <v>0</v>
      </c>
      <c r="AB25" s="115">
        <f t="shared" si="34"/>
        <v>0</v>
      </c>
      <c r="AC25" s="115">
        <f t="shared" si="34"/>
        <v>0</v>
      </c>
      <c r="AD25" s="115">
        <f t="shared" si="34"/>
        <v>186500</v>
      </c>
      <c r="AE25" s="112">
        <f t="shared" si="34"/>
        <v>194300</v>
      </c>
      <c r="AF25" s="111">
        <f t="shared" si="4"/>
        <v>8408982.7599999998</v>
      </c>
      <c r="AG25" s="118">
        <f t="shared" ref="AG25:AR25" si="35">+AG26+AG42</f>
        <v>0</v>
      </c>
      <c r="AH25" s="116">
        <f t="shared" si="35"/>
        <v>0</v>
      </c>
      <c r="AI25" s="115">
        <f t="shared" si="35"/>
        <v>0</v>
      </c>
      <c r="AJ25" s="116">
        <f t="shared" si="35"/>
        <v>0</v>
      </c>
      <c r="AK25" s="115">
        <f t="shared" si="35"/>
        <v>0</v>
      </c>
      <c r="AL25" s="115">
        <f t="shared" si="35"/>
        <v>0</v>
      </c>
      <c r="AM25" s="115">
        <f t="shared" si="35"/>
        <v>0</v>
      </c>
      <c r="AN25" s="116">
        <f t="shared" si="35"/>
        <v>0</v>
      </c>
      <c r="AO25" s="115">
        <f t="shared" si="35"/>
        <v>0</v>
      </c>
      <c r="AP25" s="115">
        <f t="shared" si="35"/>
        <v>1715534.92</v>
      </c>
      <c r="AQ25" s="115">
        <f t="shared" si="35"/>
        <v>0</v>
      </c>
      <c r="AR25" s="119">
        <f t="shared" si="35"/>
        <v>6693447.8399999999</v>
      </c>
      <c r="AS25" s="111">
        <f t="shared" si="6"/>
        <v>7327104.3600000003</v>
      </c>
      <c r="AT25" s="118">
        <f t="shared" ref="AT25:BE25" si="36">+AT26+AT42</f>
        <v>0</v>
      </c>
      <c r="AU25" s="116">
        <f t="shared" si="36"/>
        <v>0</v>
      </c>
      <c r="AV25" s="115">
        <f t="shared" si="36"/>
        <v>0</v>
      </c>
      <c r="AW25" s="116">
        <f t="shared" si="36"/>
        <v>0</v>
      </c>
      <c r="AX25" s="115">
        <f t="shared" si="36"/>
        <v>0</v>
      </c>
      <c r="AY25" s="115">
        <f t="shared" si="36"/>
        <v>0</v>
      </c>
      <c r="AZ25" s="115">
        <f t="shared" si="36"/>
        <v>0</v>
      </c>
      <c r="BA25" s="116">
        <f t="shared" si="36"/>
        <v>0</v>
      </c>
      <c r="BB25" s="115">
        <f t="shared" si="36"/>
        <v>1399730.28</v>
      </c>
      <c r="BC25" s="115">
        <f t="shared" si="36"/>
        <v>0</v>
      </c>
      <c r="BD25" s="115">
        <f t="shared" si="36"/>
        <v>0</v>
      </c>
      <c r="BE25" s="119">
        <f t="shared" si="36"/>
        <v>5927374.0800000001</v>
      </c>
      <c r="BF25" s="111">
        <f t="shared" ref="BF25:BF43" si="37">SUM(BG25:BR25)</f>
        <v>62979023.490000002</v>
      </c>
      <c r="BG25" s="118">
        <f t="shared" ref="BG25:BR25" si="38">+BG26+BG42</f>
        <v>0</v>
      </c>
      <c r="BH25" s="116">
        <f t="shared" si="38"/>
        <v>0</v>
      </c>
      <c r="BI25" s="115">
        <f t="shared" si="38"/>
        <v>9089303.5299999993</v>
      </c>
      <c r="BJ25" s="116">
        <f t="shared" si="38"/>
        <v>6534888.9500000002</v>
      </c>
      <c r="BK25" s="115">
        <f t="shared" si="38"/>
        <v>16327882.039999999</v>
      </c>
      <c r="BL25" s="115">
        <f t="shared" si="38"/>
        <v>15705540.460000001</v>
      </c>
      <c r="BM25" s="115">
        <f t="shared" si="38"/>
        <v>15321408.51</v>
      </c>
      <c r="BN25" s="116">
        <f t="shared" si="38"/>
        <v>0</v>
      </c>
      <c r="BO25" s="115">
        <f t="shared" si="38"/>
        <v>0</v>
      </c>
      <c r="BP25" s="115">
        <f t="shared" si="38"/>
        <v>0</v>
      </c>
      <c r="BQ25" s="115">
        <f t="shared" si="38"/>
        <v>0</v>
      </c>
      <c r="BR25" s="119">
        <f t="shared" si="38"/>
        <v>0</v>
      </c>
      <c r="BS25" s="120"/>
    </row>
    <row r="26" spans="1:71" s="49" customFormat="1" ht="56.25" customHeight="1" x14ac:dyDescent="0.35">
      <c r="A26" s="335" t="s">
        <v>26</v>
      </c>
      <c r="B26" s="327"/>
      <c r="C26" s="300"/>
      <c r="D26" s="71">
        <f>+E26+BF26</f>
        <v>79207038.039999992</v>
      </c>
      <c r="E26" s="71">
        <f t="shared" si="32"/>
        <v>25843604.93</v>
      </c>
      <c r="F26" s="71">
        <f t="shared" si="0"/>
        <v>9726717.8100000005</v>
      </c>
      <c r="G26" s="121">
        <f t="shared" ref="G26:R26" si="39">SUM(G27:G41)</f>
        <v>0</v>
      </c>
      <c r="H26" s="122">
        <f t="shared" si="39"/>
        <v>0</v>
      </c>
      <c r="I26" s="122">
        <f t="shared" si="39"/>
        <v>0</v>
      </c>
      <c r="J26" s="122">
        <f t="shared" si="39"/>
        <v>0</v>
      </c>
      <c r="K26" s="123">
        <f t="shared" si="39"/>
        <v>6606519.7999999998</v>
      </c>
      <c r="L26" s="73">
        <f t="shared" si="39"/>
        <v>0</v>
      </c>
      <c r="M26" s="73">
        <f t="shared" si="39"/>
        <v>0</v>
      </c>
      <c r="N26" s="73">
        <f t="shared" si="39"/>
        <v>0</v>
      </c>
      <c r="O26" s="73">
        <f t="shared" si="39"/>
        <v>2218323.19</v>
      </c>
      <c r="P26" s="73">
        <f t="shared" si="39"/>
        <v>0</v>
      </c>
      <c r="Q26" s="73">
        <f t="shared" si="39"/>
        <v>0</v>
      </c>
      <c r="R26" s="124">
        <f t="shared" si="39"/>
        <v>901874.82</v>
      </c>
      <c r="S26" s="125">
        <f t="shared" si="2"/>
        <v>380800</v>
      </c>
      <c r="T26" s="76">
        <f t="shared" ref="T26:AE26" si="40">SUM(T27:T41)</f>
        <v>0</v>
      </c>
      <c r="U26" s="73">
        <f t="shared" si="40"/>
        <v>0</v>
      </c>
      <c r="V26" s="73">
        <f t="shared" si="40"/>
        <v>0</v>
      </c>
      <c r="W26" s="73">
        <f t="shared" si="40"/>
        <v>0</v>
      </c>
      <c r="X26" s="72">
        <f t="shared" si="40"/>
        <v>0</v>
      </c>
      <c r="Y26" s="73">
        <f t="shared" si="40"/>
        <v>0</v>
      </c>
      <c r="Z26" s="73">
        <f t="shared" si="40"/>
        <v>0</v>
      </c>
      <c r="AA26" s="73">
        <f t="shared" si="40"/>
        <v>0</v>
      </c>
      <c r="AB26" s="73">
        <f t="shared" si="40"/>
        <v>0</v>
      </c>
      <c r="AC26" s="73">
        <f t="shared" si="40"/>
        <v>0</v>
      </c>
      <c r="AD26" s="73">
        <f t="shared" si="40"/>
        <v>186500</v>
      </c>
      <c r="AE26" s="121">
        <f t="shared" si="40"/>
        <v>194300</v>
      </c>
      <c r="AF26" s="125">
        <f t="shared" si="4"/>
        <v>8408982.7599999998</v>
      </c>
      <c r="AG26" s="126">
        <f t="shared" ref="AG26:AR26" si="41">SUM(AG27:AG41)</f>
        <v>0</v>
      </c>
      <c r="AH26" s="72">
        <f t="shared" si="41"/>
        <v>0</v>
      </c>
      <c r="AI26" s="73">
        <f t="shared" si="41"/>
        <v>0</v>
      </c>
      <c r="AJ26" s="72">
        <f t="shared" si="41"/>
        <v>0</v>
      </c>
      <c r="AK26" s="73">
        <f t="shared" si="41"/>
        <v>0</v>
      </c>
      <c r="AL26" s="73">
        <f t="shared" si="41"/>
        <v>0</v>
      </c>
      <c r="AM26" s="73">
        <f t="shared" si="41"/>
        <v>0</v>
      </c>
      <c r="AN26" s="72">
        <f t="shared" si="41"/>
        <v>0</v>
      </c>
      <c r="AO26" s="73">
        <f t="shared" si="41"/>
        <v>0</v>
      </c>
      <c r="AP26" s="73">
        <f t="shared" si="41"/>
        <v>1715534.92</v>
      </c>
      <c r="AQ26" s="73">
        <f t="shared" si="41"/>
        <v>0</v>
      </c>
      <c r="AR26" s="127">
        <f t="shared" si="41"/>
        <v>6693447.8399999999</v>
      </c>
      <c r="AS26" s="125">
        <f t="shared" si="6"/>
        <v>7327104.3600000003</v>
      </c>
      <c r="AT26" s="126">
        <f t="shared" ref="AT26:BE26" si="42">SUM(AT27:AT41)</f>
        <v>0</v>
      </c>
      <c r="AU26" s="72">
        <f t="shared" si="42"/>
        <v>0</v>
      </c>
      <c r="AV26" s="73">
        <f t="shared" si="42"/>
        <v>0</v>
      </c>
      <c r="AW26" s="72">
        <f t="shared" si="42"/>
        <v>0</v>
      </c>
      <c r="AX26" s="73">
        <f t="shared" si="42"/>
        <v>0</v>
      </c>
      <c r="AY26" s="73">
        <f t="shared" si="42"/>
        <v>0</v>
      </c>
      <c r="AZ26" s="73">
        <f t="shared" si="42"/>
        <v>0</v>
      </c>
      <c r="BA26" s="72">
        <f t="shared" si="42"/>
        <v>0</v>
      </c>
      <c r="BB26" s="73">
        <f t="shared" si="42"/>
        <v>1399730.28</v>
      </c>
      <c r="BC26" s="73">
        <f t="shared" si="42"/>
        <v>0</v>
      </c>
      <c r="BD26" s="73">
        <f t="shared" si="42"/>
        <v>0</v>
      </c>
      <c r="BE26" s="127">
        <f t="shared" si="42"/>
        <v>5927374.0800000001</v>
      </c>
      <c r="BF26" s="125">
        <f t="shared" si="37"/>
        <v>53363433.109999992</v>
      </c>
      <c r="BG26" s="126">
        <f t="shared" ref="BG26:BR26" si="43">SUM(BG27:BG41)</f>
        <v>0</v>
      </c>
      <c r="BH26" s="72">
        <f t="shared" si="43"/>
        <v>0</v>
      </c>
      <c r="BI26" s="73">
        <f t="shared" si="43"/>
        <v>6684091.2699999996</v>
      </c>
      <c r="BJ26" s="72">
        <f t="shared" si="43"/>
        <v>6534888.9500000002</v>
      </c>
      <c r="BK26" s="73">
        <f t="shared" si="43"/>
        <v>13923917.939999999</v>
      </c>
      <c r="BL26" s="73">
        <f t="shared" si="43"/>
        <v>13314706.83</v>
      </c>
      <c r="BM26" s="73">
        <f t="shared" si="43"/>
        <v>12905828.119999999</v>
      </c>
      <c r="BN26" s="72">
        <f t="shared" si="43"/>
        <v>0</v>
      </c>
      <c r="BO26" s="73">
        <f t="shared" si="43"/>
        <v>0</v>
      </c>
      <c r="BP26" s="73">
        <f t="shared" si="43"/>
        <v>0</v>
      </c>
      <c r="BQ26" s="73">
        <f t="shared" si="43"/>
        <v>0</v>
      </c>
      <c r="BR26" s="127">
        <f t="shared" si="43"/>
        <v>0</v>
      </c>
      <c r="BS26" s="128"/>
    </row>
    <row r="27" spans="1:71" s="49" customFormat="1" ht="62.25" customHeight="1" x14ac:dyDescent="0.35">
      <c r="A27" s="322" t="s">
        <v>27</v>
      </c>
      <c r="B27" s="324"/>
      <c r="C27" s="131">
        <v>1080</v>
      </c>
      <c r="D27" s="50">
        <f>+E27+BF27</f>
        <v>1956180.3399999999</v>
      </c>
      <c r="E27" s="50">
        <f t="shared" si="32"/>
        <v>0</v>
      </c>
      <c r="F27" s="50">
        <f t="shared" si="0"/>
        <v>0</v>
      </c>
      <c r="G27" s="51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3"/>
      <c r="S27" s="54">
        <f t="shared" si="2"/>
        <v>0</v>
      </c>
      <c r="T27" s="51"/>
      <c r="U27" s="56"/>
      <c r="V27" s="52"/>
      <c r="W27" s="59"/>
      <c r="X27" s="58"/>
      <c r="Y27" s="58"/>
      <c r="Z27" s="58"/>
      <c r="AA27" s="58"/>
      <c r="AB27" s="58"/>
      <c r="AC27" s="58"/>
      <c r="AD27" s="58"/>
      <c r="AE27" s="58"/>
      <c r="AF27" s="50">
        <f t="shared" si="4"/>
        <v>0</v>
      </c>
      <c r="AG27" s="58"/>
      <c r="AH27" s="58"/>
      <c r="AI27" s="58"/>
      <c r="AJ27" s="58"/>
      <c r="AK27" s="58"/>
      <c r="AL27" s="62"/>
      <c r="AM27" s="79"/>
      <c r="AN27" s="79"/>
      <c r="AO27" s="79"/>
      <c r="AP27" s="79"/>
      <c r="AQ27" s="79"/>
      <c r="AR27" s="79"/>
      <c r="AS27" s="50">
        <f t="shared" si="6"/>
        <v>0</v>
      </c>
      <c r="AT27" s="61"/>
      <c r="AU27" s="61"/>
      <c r="AV27" s="61"/>
      <c r="AW27" s="61"/>
      <c r="AX27" s="61"/>
      <c r="AY27" s="61"/>
      <c r="AZ27" s="61"/>
      <c r="BA27" s="61"/>
      <c r="BB27" s="269"/>
      <c r="BC27" s="269"/>
      <c r="BD27" s="269"/>
      <c r="BE27" s="269"/>
      <c r="BF27" s="50">
        <f t="shared" si="37"/>
        <v>1956180.3399999999</v>
      </c>
      <c r="BG27" s="61"/>
      <c r="BH27" s="61"/>
      <c r="BI27" s="61"/>
      <c r="BJ27" s="61"/>
      <c r="BK27" s="269">
        <f>655832.6</f>
        <v>655832.6</v>
      </c>
      <c r="BL27" s="68">
        <f>653454.53</f>
        <v>653454.53</v>
      </c>
      <c r="BM27" s="62">
        <f>646893.21</f>
        <v>646893.21</v>
      </c>
      <c r="BN27" s="62"/>
      <c r="BO27" s="62"/>
      <c r="BP27" s="62"/>
      <c r="BQ27" s="62"/>
      <c r="BR27" s="69"/>
      <c r="BS27" s="84" t="s">
        <v>103</v>
      </c>
    </row>
    <row r="28" spans="1:71" s="49" customFormat="1" ht="76.5" customHeight="1" x14ac:dyDescent="0.35">
      <c r="A28" s="336" t="s">
        <v>28</v>
      </c>
      <c r="B28" s="324" t="s">
        <v>29</v>
      </c>
      <c r="C28" s="304" t="s">
        <v>29</v>
      </c>
      <c r="D28" s="50">
        <f>+E28+BF28</f>
        <v>7927266.4499999993</v>
      </c>
      <c r="E28" s="50">
        <f t="shared" si="32"/>
        <v>0</v>
      </c>
      <c r="F28" s="50">
        <f t="shared" si="0"/>
        <v>0</v>
      </c>
      <c r="G28" s="51"/>
      <c r="H28" s="51"/>
      <c r="I28" s="52"/>
      <c r="J28" s="52"/>
      <c r="K28" s="51"/>
      <c r="L28" s="51"/>
      <c r="M28" s="52"/>
      <c r="N28" s="52"/>
      <c r="O28" s="52"/>
      <c r="P28" s="52"/>
      <c r="Q28" s="51"/>
      <c r="R28" s="53"/>
      <c r="S28" s="54">
        <f t="shared" si="2"/>
        <v>0</v>
      </c>
      <c r="T28" s="55"/>
      <c r="U28" s="56"/>
      <c r="V28" s="62"/>
      <c r="W28" s="68"/>
      <c r="X28" s="58"/>
      <c r="Y28" s="58"/>
      <c r="Z28" s="58"/>
      <c r="AA28" s="58"/>
      <c r="AB28" s="58"/>
      <c r="AC28" s="58"/>
      <c r="AD28" s="58"/>
      <c r="AE28" s="58"/>
      <c r="AF28" s="70">
        <f t="shared" si="4"/>
        <v>0</v>
      </c>
      <c r="AG28" s="58"/>
      <c r="AH28" s="58"/>
      <c r="AI28" s="58"/>
      <c r="AJ28" s="58"/>
      <c r="AK28" s="62"/>
      <c r="AL28" s="62"/>
      <c r="AM28" s="62"/>
      <c r="AN28" s="62"/>
      <c r="AO28" s="62"/>
      <c r="AP28" s="62"/>
      <c r="AQ28" s="62"/>
      <c r="AR28" s="62"/>
      <c r="AS28" s="70">
        <f t="shared" si="6"/>
        <v>0</v>
      </c>
      <c r="AT28" s="61"/>
      <c r="AU28" s="61"/>
      <c r="AV28" s="61"/>
      <c r="AW28" s="61"/>
      <c r="AX28" s="61"/>
      <c r="AY28" s="61"/>
      <c r="AZ28" s="61"/>
      <c r="BA28" s="61"/>
      <c r="BB28" s="61"/>
      <c r="BC28" s="269"/>
      <c r="BD28" s="269"/>
      <c r="BE28" s="269"/>
      <c r="BF28" s="50">
        <f t="shared" si="37"/>
        <v>7927266.4499999993</v>
      </c>
      <c r="BG28" s="61"/>
      <c r="BH28" s="61"/>
      <c r="BI28" s="61"/>
      <c r="BJ28" s="269">
        <f>1997814.07</f>
        <v>1997814.07</v>
      </c>
      <c r="BK28" s="61">
        <f>1985697.2</f>
        <v>1985697.2</v>
      </c>
      <c r="BL28" s="68">
        <f>1981013.33</f>
        <v>1981013.33</v>
      </c>
      <c r="BM28" s="62">
        <f>1962741.85</f>
        <v>1962741.85</v>
      </c>
      <c r="BN28" s="62"/>
      <c r="BO28" s="62"/>
      <c r="BP28" s="62"/>
      <c r="BQ28" s="62"/>
      <c r="BR28" s="69"/>
      <c r="BS28" s="84" t="s">
        <v>104</v>
      </c>
    </row>
    <row r="29" spans="1:71" s="49" customFormat="1" ht="93" customHeight="1" x14ac:dyDescent="0.35">
      <c r="A29" s="336" t="s">
        <v>30</v>
      </c>
      <c r="B29" s="337" t="s">
        <v>31</v>
      </c>
      <c r="C29" s="305" t="s">
        <v>32</v>
      </c>
      <c r="D29" s="83">
        <f>+E29+BF29</f>
        <v>17743872.140000001</v>
      </c>
      <c r="E29" s="83">
        <f t="shared" si="32"/>
        <v>1853235.56</v>
      </c>
      <c r="F29" s="83">
        <f t="shared" si="0"/>
        <v>30</v>
      </c>
      <c r="G29" s="143"/>
      <c r="H29" s="57"/>
      <c r="I29" s="57"/>
      <c r="J29" s="57"/>
      <c r="K29" s="57"/>
      <c r="L29" s="57"/>
      <c r="M29" s="57"/>
      <c r="N29" s="57"/>
      <c r="O29" s="57"/>
      <c r="P29" s="57"/>
      <c r="Q29" s="143"/>
      <c r="R29" s="69">
        <f>30</f>
        <v>30</v>
      </c>
      <c r="S29" s="88">
        <f t="shared" si="2"/>
        <v>0</v>
      </c>
      <c r="T29" s="255"/>
      <c r="U29" s="57"/>
      <c r="V29" s="57"/>
      <c r="W29" s="62"/>
      <c r="X29" s="62"/>
      <c r="Y29" s="256"/>
      <c r="Z29" s="79"/>
      <c r="AA29" s="62"/>
      <c r="AB29" s="62"/>
      <c r="AC29" s="62"/>
      <c r="AD29" s="62"/>
      <c r="AE29" s="66"/>
      <c r="AF29" s="60">
        <f t="shared" si="4"/>
        <v>1853205.56</v>
      </c>
      <c r="AG29" s="67"/>
      <c r="AH29" s="79"/>
      <c r="AI29" s="62"/>
      <c r="AJ29" s="79"/>
      <c r="AK29" s="62"/>
      <c r="AL29" s="62"/>
      <c r="AM29" s="58"/>
      <c r="AN29" s="79"/>
      <c r="AO29" s="62"/>
      <c r="AP29" s="62"/>
      <c r="AQ29" s="62"/>
      <c r="AR29" s="66">
        <f>1853205.56</f>
        <v>1853205.56</v>
      </c>
      <c r="AS29" s="60">
        <f t="shared" si="6"/>
        <v>0</v>
      </c>
      <c r="AT29" s="79"/>
      <c r="AU29" s="62"/>
      <c r="AV29" s="62"/>
      <c r="AW29" s="62"/>
      <c r="AX29" s="62"/>
      <c r="AY29" s="62"/>
      <c r="AZ29" s="62"/>
      <c r="BA29" s="62"/>
      <c r="BB29" s="193"/>
      <c r="BC29" s="193"/>
      <c r="BD29" s="193"/>
      <c r="BE29" s="195"/>
      <c r="BF29" s="50">
        <f t="shared" si="37"/>
        <v>15890636.58</v>
      </c>
      <c r="BG29" s="79"/>
      <c r="BH29" s="193"/>
      <c r="BI29" s="193">
        <f>2023897.68</f>
        <v>2023897.68</v>
      </c>
      <c r="BJ29" s="193"/>
      <c r="BK29" s="62">
        <f>954799.09+1200218.64+824555.26+1813302.67</f>
        <v>4792875.66</v>
      </c>
      <c r="BL29" s="193">
        <f>955178.38+1196680.96+822352.11+1592511.78</f>
        <v>4566723.2299999995</v>
      </c>
      <c r="BM29" s="62">
        <f>945757.53+1187025.74+815796.78+1558559.96</f>
        <v>4507140.01</v>
      </c>
      <c r="BN29" s="62"/>
      <c r="BO29" s="62"/>
      <c r="BP29" s="62"/>
      <c r="BQ29" s="62"/>
      <c r="BR29" s="69"/>
      <c r="BS29" s="207" t="s">
        <v>105</v>
      </c>
    </row>
    <row r="30" spans="1:71" s="49" customFormat="1" ht="97.5" hidden="1" customHeight="1" x14ac:dyDescent="0.35">
      <c r="A30" s="338" t="s">
        <v>33</v>
      </c>
      <c r="B30" s="324"/>
      <c r="C30" s="304" t="s">
        <v>34</v>
      </c>
      <c r="D30" s="50">
        <f>+E30+AS30</f>
        <v>0</v>
      </c>
      <c r="E30" s="50">
        <f t="shared" si="32"/>
        <v>0</v>
      </c>
      <c r="F30" s="50">
        <f t="shared" si="0"/>
        <v>0</v>
      </c>
      <c r="G30" s="51"/>
      <c r="H30" s="52"/>
      <c r="I30" s="52"/>
      <c r="J30" s="52"/>
      <c r="K30" s="52"/>
      <c r="L30" s="52"/>
      <c r="M30" s="52"/>
      <c r="N30" s="52"/>
      <c r="O30" s="52"/>
      <c r="P30" s="52"/>
      <c r="Q30" s="51"/>
      <c r="R30" s="53"/>
      <c r="S30" s="86">
        <f t="shared" si="2"/>
        <v>0</v>
      </c>
      <c r="T30" s="51"/>
      <c r="U30" s="52"/>
      <c r="V30" s="68"/>
      <c r="W30" s="68"/>
      <c r="X30" s="62"/>
      <c r="Y30" s="62"/>
      <c r="Z30" s="79"/>
      <c r="AA30" s="62"/>
      <c r="AB30" s="62"/>
      <c r="AC30" s="62"/>
      <c r="AD30" s="68"/>
      <c r="AE30" s="129"/>
      <c r="AF30" s="50">
        <f t="shared" si="4"/>
        <v>0</v>
      </c>
      <c r="AG30" s="130"/>
      <c r="AH30" s="65"/>
      <c r="AI30" s="68"/>
      <c r="AJ30" s="65"/>
      <c r="AK30" s="62"/>
      <c r="AL30" s="62"/>
      <c r="AM30" s="62"/>
      <c r="AN30" s="79"/>
      <c r="AO30" s="62"/>
      <c r="AP30" s="62"/>
      <c r="AQ30" s="62"/>
      <c r="AR30" s="66"/>
      <c r="AS30" s="50">
        <f t="shared" si="6"/>
        <v>0</v>
      </c>
      <c r="AT30" s="79"/>
      <c r="AU30" s="62"/>
      <c r="AV30" s="62"/>
      <c r="AW30" s="62"/>
      <c r="AX30" s="62"/>
      <c r="AY30" s="62"/>
      <c r="AZ30" s="62"/>
      <c r="BA30" s="62"/>
      <c r="BB30" s="193"/>
      <c r="BC30" s="193"/>
      <c r="BD30" s="193"/>
      <c r="BE30" s="195"/>
      <c r="BF30" s="50">
        <f t="shared" si="37"/>
        <v>0</v>
      </c>
      <c r="BG30" s="79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9"/>
      <c r="BS30" s="257"/>
    </row>
    <row r="31" spans="1:71" s="49" customFormat="1" ht="105" hidden="1" customHeight="1" x14ac:dyDescent="0.35">
      <c r="A31" s="338" t="s">
        <v>35</v>
      </c>
      <c r="B31" s="324"/>
      <c r="C31" s="304" t="s">
        <v>36</v>
      </c>
      <c r="D31" s="50">
        <f>+E31+AS31</f>
        <v>0</v>
      </c>
      <c r="E31" s="50">
        <f t="shared" si="32"/>
        <v>0</v>
      </c>
      <c r="F31" s="50">
        <f t="shared" si="0"/>
        <v>0</v>
      </c>
      <c r="G31" s="51"/>
      <c r="H31" s="52"/>
      <c r="I31" s="52"/>
      <c r="J31" s="52"/>
      <c r="K31" s="52"/>
      <c r="L31" s="52"/>
      <c r="M31" s="52"/>
      <c r="N31" s="52"/>
      <c r="O31" s="52"/>
      <c r="P31" s="52"/>
      <c r="Q31" s="51"/>
      <c r="R31" s="53"/>
      <c r="S31" s="86">
        <f t="shared" si="2"/>
        <v>0</v>
      </c>
      <c r="T31" s="51"/>
      <c r="U31" s="52"/>
      <c r="V31" s="68"/>
      <c r="W31" s="68"/>
      <c r="X31" s="62"/>
      <c r="Y31" s="62"/>
      <c r="Z31" s="79"/>
      <c r="AA31" s="62"/>
      <c r="AB31" s="62"/>
      <c r="AC31" s="62"/>
      <c r="AD31" s="68"/>
      <c r="AE31" s="129"/>
      <c r="AF31" s="50">
        <f t="shared" si="4"/>
        <v>0</v>
      </c>
      <c r="AG31" s="130"/>
      <c r="AH31" s="65"/>
      <c r="AI31" s="68"/>
      <c r="AJ31" s="65"/>
      <c r="AK31" s="62"/>
      <c r="AL31" s="62"/>
      <c r="AM31" s="62"/>
      <c r="AN31" s="79"/>
      <c r="AO31" s="62"/>
      <c r="AP31" s="62"/>
      <c r="AQ31" s="62"/>
      <c r="AR31" s="66"/>
      <c r="AS31" s="50">
        <f t="shared" si="6"/>
        <v>0</v>
      </c>
      <c r="AT31" s="79"/>
      <c r="AU31" s="62"/>
      <c r="AV31" s="62"/>
      <c r="AW31" s="62"/>
      <c r="AX31" s="62"/>
      <c r="AY31" s="62"/>
      <c r="AZ31" s="62"/>
      <c r="BA31" s="62"/>
      <c r="BB31" s="193"/>
      <c r="BC31" s="193"/>
      <c r="BD31" s="193"/>
      <c r="BE31" s="195"/>
      <c r="BF31" s="50">
        <f t="shared" si="37"/>
        <v>0</v>
      </c>
      <c r="BG31" s="79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9"/>
      <c r="BS31" s="257"/>
    </row>
    <row r="32" spans="1:71" s="49" customFormat="1" ht="75.75" hidden="1" customHeight="1" x14ac:dyDescent="0.35">
      <c r="A32" s="338" t="s">
        <v>37</v>
      </c>
      <c r="B32" s="324"/>
      <c r="C32" s="304"/>
      <c r="D32" s="50">
        <f>+E32+AS32</f>
        <v>0</v>
      </c>
      <c r="E32" s="50">
        <f t="shared" si="32"/>
        <v>0</v>
      </c>
      <c r="F32" s="50">
        <f t="shared" si="0"/>
        <v>0</v>
      </c>
      <c r="G32" s="51"/>
      <c r="H32" s="52"/>
      <c r="I32" s="52"/>
      <c r="J32" s="52"/>
      <c r="K32" s="52"/>
      <c r="L32" s="52"/>
      <c r="M32" s="52"/>
      <c r="N32" s="52"/>
      <c r="O32" s="52"/>
      <c r="P32" s="52"/>
      <c r="Q32" s="51"/>
      <c r="R32" s="53"/>
      <c r="S32" s="86">
        <f t="shared" si="2"/>
        <v>0</v>
      </c>
      <c r="T32" s="51"/>
      <c r="U32" s="52"/>
      <c r="V32" s="68"/>
      <c r="W32" s="68"/>
      <c r="X32" s="62"/>
      <c r="Y32" s="62"/>
      <c r="Z32" s="79"/>
      <c r="AA32" s="62"/>
      <c r="AB32" s="62"/>
      <c r="AC32" s="62"/>
      <c r="AD32" s="68"/>
      <c r="AE32" s="129"/>
      <c r="AF32" s="50">
        <f t="shared" si="4"/>
        <v>0</v>
      </c>
      <c r="AG32" s="130"/>
      <c r="AH32" s="65"/>
      <c r="AI32" s="68"/>
      <c r="AJ32" s="65"/>
      <c r="AK32" s="62"/>
      <c r="AL32" s="62"/>
      <c r="AM32" s="62"/>
      <c r="AN32" s="79"/>
      <c r="AO32" s="62"/>
      <c r="AP32" s="62"/>
      <c r="AQ32" s="62"/>
      <c r="AR32" s="66"/>
      <c r="AS32" s="50">
        <f t="shared" si="6"/>
        <v>0</v>
      </c>
      <c r="AT32" s="79"/>
      <c r="AU32" s="62"/>
      <c r="AV32" s="62"/>
      <c r="AW32" s="62"/>
      <c r="AX32" s="62"/>
      <c r="AY32" s="62"/>
      <c r="AZ32" s="62"/>
      <c r="BA32" s="62"/>
      <c r="BB32" s="193"/>
      <c r="BC32" s="193"/>
      <c r="BD32" s="193"/>
      <c r="BE32" s="195"/>
      <c r="BF32" s="50">
        <f t="shared" si="37"/>
        <v>0</v>
      </c>
      <c r="BG32" s="79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9"/>
      <c r="BS32" s="257"/>
    </row>
    <row r="33" spans="1:71" s="49" customFormat="1" ht="73.5" customHeight="1" x14ac:dyDescent="0.35">
      <c r="A33" s="338" t="s">
        <v>38</v>
      </c>
      <c r="B33" s="339"/>
      <c r="C33" s="304"/>
      <c r="D33" s="50">
        <f t="shared" ref="D33:D38" si="44">+E33+BF33</f>
        <v>27430128.520000003</v>
      </c>
      <c r="E33" s="50">
        <f t="shared" si="32"/>
        <v>4840242.28</v>
      </c>
      <c r="F33" s="50">
        <f t="shared" si="0"/>
        <v>0</v>
      </c>
      <c r="G33" s="51"/>
      <c r="H33" s="51"/>
      <c r="I33" s="52"/>
      <c r="J33" s="52"/>
      <c r="K33" s="51"/>
      <c r="L33" s="52"/>
      <c r="M33" s="52"/>
      <c r="N33" s="52"/>
      <c r="O33" s="52"/>
      <c r="P33" s="52"/>
      <c r="Q33" s="52"/>
      <c r="R33" s="53"/>
      <c r="S33" s="86">
        <f t="shared" si="2"/>
        <v>0</v>
      </c>
      <c r="T33" s="55"/>
      <c r="U33" s="56"/>
      <c r="V33" s="52"/>
      <c r="W33" s="68"/>
      <c r="X33" s="58"/>
      <c r="Y33" s="58"/>
      <c r="Z33" s="58"/>
      <c r="AA33" s="58"/>
      <c r="AB33" s="58"/>
      <c r="AC33" s="58"/>
      <c r="AD33" s="58"/>
      <c r="AE33" s="58"/>
      <c r="AF33" s="70">
        <f t="shared" si="4"/>
        <v>4840242.28</v>
      </c>
      <c r="AG33" s="67"/>
      <c r="AH33" s="62"/>
      <c r="AJ33" s="62"/>
      <c r="AK33" s="62"/>
      <c r="AL33" s="62"/>
      <c r="AM33" s="62"/>
      <c r="AN33" s="79"/>
      <c r="AO33" s="79"/>
      <c r="AP33" s="79"/>
      <c r="AQ33" s="79"/>
      <c r="AR33" s="66">
        <f>4840242.28</f>
        <v>4840242.28</v>
      </c>
      <c r="AS33" s="70">
        <f t="shared" si="6"/>
        <v>0</v>
      </c>
      <c r="AT33" s="61"/>
      <c r="AU33" s="61"/>
      <c r="AV33" s="61"/>
      <c r="AW33" s="61"/>
      <c r="AX33" s="61"/>
      <c r="AY33" s="61"/>
      <c r="AZ33" s="61"/>
      <c r="BA33" s="62"/>
      <c r="BB33" s="193"/>
      <c r="BC33" s="193"/>
      <c r="BD33" s="193"/>
      <c r="BE33" s="193"/>
      <c r="BF33" s="50">
        <f t="shared" si="37"/>
        <v>22589886.240000002</v>
      </c>
      <c r="BG33" s="269"/>
      <c r="BH33" s="269"/>
      <c r="BI33" s="269">
        <f>4541379.22</f>
        <v>4541379.22</v>
      </c>
      <c r="BJ33" s="269">
        <f>4537074.88</f>
        <v>4537074.88</v>
      </c>
      <c r="BK33" s="61">
        <f>4521158.8</f>
        <v>4521158.8</v>
      </c>
      <c r="BL33" s="193">
        <f>4508795.74</f>
        <v>4508795.74</v>
      </c>
      <c r="BM33" s="62">
        <f>4481477.6</f>
        <v>4481477.5999999996</v>
      </c>
      <c r="BN33" s="62"/>
      <c r="BO33" s="62"/>
      <c r="BP33" s="62"/>
      <c r="BQ33" s="62"/>
      <c r="BR33" s="69"/>
      <c r="BS33" s="84" t="s">
        <v>106</v>
      </c>
    </row>
    <row r="34" spans="1:71" s="49" customFormat="1" ht="75" customHeight="1" x14ac:dyDescent="0.35">
      <c r="A34" s="372" t="s">
        <v>39</v>
      </c>
      <c r="B34" s="373"/>
      <c r="C34" s="131"/>
      <c r="D34" s="50">
        <f t="shared" si="44"/>
        <v>3085520</v>
      </c>
      <c r="E34" s="50">
        <f t="shared" si="32"/>
        <v>0</v>
      </c>
      <c r="F34" s="50">
        <f t="shared" si="0"/>
        <v>0</v>
      </c>
      <c r="G34" s="51"/>
      <c r="H34" s="52"/>
      <c r="I34" s="52"/>
      <c r="J34" s="52"/>
      <c r="K34" s="51"/>
      <c r="L34" s="51"/>
      <c r="M34" s="52"/>
      <c r="N34" s="52"/>
      <c r="O34" s="52"/>
      <c r="P34" s="52"/>
      <c r="Q34" s="52"/>
      <c r="R34" s="53"/>
      <c r="S34" s="54">
        <f t="shared" si="2"/>
        <v>0</v>
      </c>
      <c r="T34" s="55"/>
      <c r="U34" s="56"/>
      <c r="V34" s="52"/>
      <c r="W34" s="68"/>
      <c r="X34" s="58"/>
      <c r="Y34" s="58"/>
      <c r="Z34" s="58"/>
      <c r="AA34" s="58"/>
      <c r="AB34" s="58"/>
      <c r="AC34" s="58"/>
      <c r="AD34" s="58"/>
      <c r="AE34" s="58"/>
      <c r="AF34" s="70">
        <f t="shared" si="4"/>
        <v>0</v>
      </c>
      <c r="AG34" s="65"/>
      <c r="AH34" s="65"/>
      <c r="AI34" s="79"/>
      <c r="AJ34" s="79"/>
      <c r="AK34" s="79"/>
      <c r="AL34" s="79"/>
      <c r="AM34" s="58"/>
      <c r="AN34" s="79"/>
      <c r="AO34" s="61"/>
      <c r="AP34" s="61"/>
      <c r="AQ34" s="61"/>
      <c r="AR34" s="61"/>
      <c r="AS34" s="70">
        <f t="shared" si="6"/>
        <v>0</v>
      </c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50">
        <f t="shared" si="37"/>
        <v>3085520</v>
      </c>
      <c r="BG34" s="269"/>
      <c r="BH34" s="269"/>
      <c r="BI34" s="269"/>
      <c r="BJ34" s="269"/>
      <c r="BK34" s="269">
        <f>763200</f>
        <v>763200</v>
      </c>
      <c r="BL34" s="62">
        <f>1372320</f>
        <v>1372320</v>
      </c>
      <c r="BM34" s="62">
        <f>950000</f>
        <v>950000</v>
      </c>
      <c r="BN34" s="62"/>
      <c r="BO34" s="62"/>
      <c r="BP34" s="62"/>
      <c r="BQ34" s="62"/>
      <c r="BR34" s="69"/>
      <c r="BS34" s="84" t="s">
        <v>107</v>
      </c>
    </row>
    <row r="35" spans="1:71" s="49" customFormat="1" ht="70.5" customHeight="1" x14ac:dyDescent="0.35">
      <c r="A35" s="336" t="s">
        <v>40</v>
      </c>
      <c r="B35" s="340"/>
      <c r="C35" s="131"/>
      <c r="D35" s="50">
        <f t="shared" si="44"/>
        <v>236189.82</v>
      </c>
      <c r="E35" s="50">
        <f t="shared" si="32"/>
        <v>0</v>
      </c>
      <c r="F35" s="50">
        <f t="shared" si="0"/>
        <v>0</v>
      </c>
      <c r="G35" s="51"/>
      <c r="H35" s="52"/>
      <c r="I35" s="52"/>
      <c r="J35" s="52"/>
      <c r="K35" s="52"/>
      <c r="L35" s="52"/>
      <c r="M35" s="52"/>
      <c r="N35" s="52"/>
      <c r="O35" s="52"/>
      <c r="P35" s="51"/>
      <c r="Q35" s="51"/>
      <c r="R35" s="53"/>
      <c r="S35" s="54">
        <f t="shared" si="2"/>
        <v>0</v>
      </c>
      <c r="T35" s="194"/>
      <c r="U35" s="271"/>
      <c r="V35" s="193"/>
      <c r="W35" s="193"/>
      <c r="X35" s="201"/>
      <c r="Y35" s="58"/>
      <c r="Z35" s="58"/>
      <c r="AA35" s="58"/>
      <c r="AB35" s="58"/>
      <c r="AC35" s="58"/>
      <c r="AD35" s="58"/>
      <c r="AE35" s="58"/>
      <c r="AF35" s="50">
        <f t="shared" si="4"/>
        <v>0</v>
      </c>
      <c r="AG35" s="58"/>
      <c r="AH35" s="61"/>
      <c r="AI35" s="65"/>
      <c r="AJ35" s="65"/>
      <c r="AK35" s="79"/>
      <c r="AL35" s="79"/>
      <c r="AM35" s="58"/>
      <c r="AN35" s="61"/>
      <c r="AO35" s="79"/>
      <c r="AP35" s="61"/>
      <c r="AQ35" s="61"/>
      <c r="AR35" s="61"/>
      <c r="AS35" s="50">
        <f t="shared" si="6"/>
        <v>0</v>
      </c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50">
        <f t="shared" si="37"/>
        <v>236189.82</v>
      </c>
      <c r="BG35" s="269"/>
      <c r="BH35" s="269"/>
      <c r="BI35" s="269">
        <f>118814.37</f>
        <v>118814.37</v>
      </c>
      <c r="BJ35" s="269"/>
      <c r="BK35" s="269"/>
      <c r="BL35" s="269"/>
      <c r="BM35" s="61">
        <f>117375.45</f>
        <v>117375.45</v>
      </c>
      <c r="BN35" s="61"/>
      <c r="BO35" s="61"/>
      <c r="BP35" s="62"/>
      <c r="BQ35" s="62"/>
      <c r="BR35" s="69"/>
      <c r="BS35" s="84" t="s">
        <v>108</v>
      </c>
    </row>
    <row r="36" spans="1:71" s="49" customFormat="1" ht="92.25" customHeight="1" x14ac:dyDescent="0.35">
      <c r="A36" s="341" t="s">
        <v>41</v>
      </c>
      <c r="B36" s="342"/>
      <c r="C36" s="304"/>
      <c r="D36" s="50">
        <f t="shared" si="44"/>
        <v>15600</v>
      </c>
      <c r="E36" s="50">
        <f t="shared" si="32"/>
        <v>7800</v>
      </c>
      <c r="F36" s="50">
        <f t="shared" si="0"/>
        <v>0</v>
      </c>
      <c r="G36" s="51"/>
      <c r="H36" s="52"/>
      <c r="I36" s="52"/>
      <c r="J36" s="52"/>
      <c r="K36" s="51"/>
      <c r="L36" s="51"/>
      <c r="M36" s="51"/>
      <c r="N36" s="51"/>
      <c r="O36" s="51"/>
      <c r="P36" s="51"/>
      <c r="Q36" s="51"/>
      <c r="R36" s="132"/>
      <c r="S36" s="64">
        <f t="shared" si="2"/>
        <v>7800</v>
      </c>
      <c r="T36" s="194"/>
      <c r="U36" s="194"/>
      <c r="V36" s="193"/>
      <c r="W36" s="201"/>
      <c r="X36" s="201"/>
      <c r="Y36" s="59"/>
      <c r="Z36" s="59"/>
      <c r="AA36" s="59"/>
      <c r="AB36" s="59"/>
      <c r="AC36" s="59"/>
      <c r="AD36" s="201"/>
      <c r="AE36" s="198">
        <f>7800</f>
        <v>7800</v>
      </c>
      <c r="AF36" s="50">
        <f t="shared" si="4"/>
        <v>0</v>
      </c>
      <c r="AG36" s="65"/>
      <c r="AH36" s="58"/>
      <c r="AI36" s="58"/>
      <c r="AJ36" s="58"/>
      <c r="AK36" s="61"/>
      <c r="AL36" s="58"/>
      <c r="AM36" s="58"/>
      <c r="AN36" s="61"/>
      <c r="AO36" s="58"/>
      <c r="AP36" s="61"/>
      <c r="AQ36" s="61"/>
      <c r="AR36" s="61"/>
      <c r="AS36" s="50">
        <f t="shared" si="6"/>
        <v>0</v>
      </c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50">
        <f t="shared" si="37"/>
        <v>7800</v>
      </c>
      <c r="BG36" s="269"/>
      <c r="BH36" s="269"/>
      <c r="BI36" s="269"/>
      <c r="BJ36" s="269"/>
      <c r="BK36" s="269"/>
      <c r="BL36" s="269"/>
      <c r="BM36" s="61">
        <f>7800</f>
        <v>7800</v>
      </c>
      <c r="BN36" s="61"/>
      <c r="BO36" s="61"/>
      <c r="BP36" s="61"/>
      <c r="BQ36" s="62"/>
      <c r="BR36" s="62"/>
      <c r="BS36" s="84" t="s">
        <v>109</v>
      </c>
    </row>
    <row r="37" spans="1:71" s="49" customFormat="1" ht="95.25" customHeight="1" x14ac:dyDescent="0.35">
      <c r="A37" s="341" t="s">
        <v>42</v>
      </c>
      <c r="B37" s="342"/>
      <c r="C37" s="304"/>
      <c r="D37" s="50">
        <f t="shared" si="44"/>
        <v>1070200</v>
      </c>
      <c r="E37" s="50">
        <f t="shared" si="32"/>
        <v>373000</v>
      </c>
      <c r="F37" s="50">
        <f t="shared" si="0"/>
        <v>0</v>
      </c>
      <c r="G37" s="51"/>
      <c r="H37" s="51"/>
      <c r="I37" s="51"/>
      <c r="J37" s="51"/>
      <c r="K37" s="51"/>
      <c r="L37" s="51"/>
      <c r="M37" s="51"/>
      <c r="N37" s="51"/>
      <c r="O37" s="51"/>
      <c r="P37" s="52"/>
      <c r="Q37" s="52"/>
      <c r="R37" s="53"/>
      <c r="S37" s="64">
        <f t="shared" si="2"/>
        <v>373000</v>
      </c>
      <c r="T37" s="133"/>
      <c r="U37" s="134"/>
      <c r="V37" s="59"/>
      <c r="W37" s="68"/>
      <c r="X37" s="59"/>
      <c r="Y37" s="58"/>
      <c r="Z37" s="58"/>
      <c r="AA37" s="58"/>
      <c r="AB37" s="58"/>
      <c r="AC37" s="59"/>
      <c r="AD37" s="193">
        <f>186500</f>
        <v>186500</v>
      </c>
      <c r="AE37" s="283">
        <f>186500</f>
        <v>186500</v>
      </c>
      <c r="AF37" s="70">
        <f t="shared" si="4"/>
        <v>0</v>
      </c>
      <c r="AG37" s="58"/>
      <c r="AH37" s="58"/>
      <c r="AI37" s="58"/>
      <c r="AJ37" s="58"/>
      <c r="AK37" s="58"/>
      <c r="AL37" s="58"/>
      <c r="AM37" s="58"/>
      <c r="AN37" s="61"/>
      <c r="AO37" s="61"/>
      <c r="AP37" s="61"/>
      <c r="AQ37" s="61"/>
      <c r="AR37" s="61"/>
      <c r="AS37" s="70">
        <f t="shared" si="6"/>
        <v>0</v>
      </c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50">
        <f t="shared" si="37"/>
        <v>697200</v>
      </c>
      <c r="BG37" s="269"/>
      <c r="BH37" s="269"/>
      <c r="BI37" s="269"/>
      <c r="BJ37" s="269"/>
      <c r="BK37" s="269">
        <f>232400</f>
        <v>232400</v>
      </c>
      <c r="BL37" s="62">
        <f>232400</f>
        <v>232400</v>
      </c>
      <c r="BM37" s="62">
        <f>232400</f>
        <v>232400</v>
      </c>
      <c r="BN37" s="62"/>
      <c r="BO37" s="62"/>
      <c r="BP37" s="62"/>
      <c r="BQ37" s="62"/>
      <c r="BR37" s="69"/>
      <c r="BS37" s="84" t="s">
        <v>110</v>
      </c>
    </row>
    <row r="38" spans="1:71" s="49" customFormat="1" ht="72" customHeight="1" x14ac:dyDescent="0.35">
      <c r="A38" s="341" t="s">
        <v>43</v>
      </c>
      <c r="B38" s="330"/>
      <c r="C38" s="306"/>
      <c r="D38" s="50">
        <f t="shared" si="44"/>
        <v>5927374.0800000001</v>
      </c>
      <c r="E38" s="50">
        <f t="shared" si="32"/>
        <v>5927374.0800000001</v>
      </c>
      <c r="F38" s="50">
        <f t="shared" si="0"/>
        <v>0</v>
      </c>
      <c r="G38" s="51"/>
      <c r="H38" s="52"/>
      <c r="I38" s="52"/>
      <c r="J38" s="52"/>
      <c r="K38" s="52"/>
      <c r="L38" s="52"/>
      <c r="M38" s="52"/>
      <c r="N38" s="135"/>
      <c r="O38" s="52"/>
      <c r="P38" s="52"/>
      <c r="Q38" s="51"/>
      <c r="R38" s="53"/>
      <c r="S38" s="86">
        <f t="shared" si="2"/>
        <v>0</v>
      </c>
      <c r="T38" s="51"/>
      <c r="U38" s="52"/>
      <c r="V38" s="59"/>
      <c r="W38" s="68"/>
      <c r="X38" s="68"/>
      <c r="Y38" s="68"/>
      <c r="Z38" s="65"/>
      <c r="AA38" s="135"/>
      <c r="AB38" s="68"/>
      <c r="AC38" s="68"/>
      <c r="AD38" s="52"/>
      <c r="AE38" s="59"/>
      <c r="AF38" s="50">
        <f t="shared" si="4"/>
        <v>0</v>
      </c>
      <c r="AG38" s="65"/>
      <c r="AH38" s="65"/>
      <c r="AI38" s="59"/>
      <c r="AJ38" s="65"/>
      <c r="AK38" s="62"/>
      <c r="AL38" s="68"/>
      <c r="AM38" s="68"/>
      <c r="AN38" s="136"/>
      <c r="AO38" s="68"/>
      <c r="AP38" s="61"/>
      <c r="AQ38" s="57"/>
      <c r="AR38" s="61"/>
      <c r="AS38" s="50">
        <f t="shared" si="6"/>
        <v>5927374.0800000001</v>
      </c>
      <c r="AT38" s="61"/>
      <c r="AU38" s="68"/>
      <c r="AV38" s="68"/>
      <c r="AW38" s="68"/>
      <c r="AX38" s="68"/>
      <c r="AY38" s="62"/>
      <c r="AZ38" s="61"/>
      <c r="BA38" s="62"/>
      <c r="BB38" s="62"/>
      <c r="BC38" s="62"/>
      <c r="BD38" s="62"/>
      <c r="BE38" s="69">
        <f>5927374.08</f>
        <v>5927374.0800000001</v>
      </c>
      <c r="BF38" s="50">
        <f t="shared" si="37"/>
        <v>0</v>
      </c>
      <c r="BG38" s="269"/>
      <c r="BH38" s="193"/>
      <c r="BI38" s="193"/>
      <c r="BJ38" s="193"/>
      <c r="BK38" s="269"/>
      <c r="BL38" s="62"/>
      <c r="BM38" s="61"/>
      <c r="BN38" s="62"/>
      <c r="BO38" s="62"/>
      <c r="BP38" s="62"/>
      <c r="BQ38" s="62"/>
      <c r="BR38" s="69"/>
      <c r="BS38" s="84" t="s">
        <v>78</v>
      </c>
    </row>
    <row r="39" spans="1:71" s="49" customFormat="1" ht="74.25" hidden="1" customHeight="1" x14ac:dyDescent="0.35">
      <c r="A39" s="343" t="s">
        <v>44</v>
      </c>
      <c r="B39" s="330"/>
      <c r="C39" s="306"/>
      <c r="D39" s="50">
        <f>+E39+AS39</f>
        <v>0</v>
      </c>
      <c r="E39" s="50">
        <f t="shared" si="32"/>
        <v>0</v>
      </c>
      <c r="F39" s="50">
        <f t="shared" si="0"/>
        <v>0</v>
      </c>
      <c r="G39" s="51"/>
      <c r="H39" s="52"/>
      <c r="I39" s="52"/>
      <c r="J39" s="52"/>
      <c r="K39" s="53"/>
      <c r="L39" s="52"/>
      <c r="M39" s="52"/>
      <c r="N39" s="135"/>
      <c r="O39" s="52"/>
      <c r="P39" s="52"/>
      <c r="Q39" s="51"/>
      <c r="R39" s="53"/>
      <c r="S39" s="86">
        <f t="shared" si="2"/>
        <v>0</v>
      </c>
      <c r="T39" s="51"/>
      <c r="U39" s="52"/>
      <c r="V39" s="68"/>
      <c r="W39" s="68"/>
      <c r="X39" s="68"/>
      <c r="Y39" s="68"/>
      <c r="Z39" s="65"/>
      <c r="AA39" s="135"/>
      <c r="AB39" s="68"/>
      <c r="AC39" s="58"/>
      <c r="AD39" s="137"/>
      <c r="AE39" s="138"/>
      <c r="AF39" s="50">
        <f t="shared" si="4"/>
        <v>0</v>
      </c>
      <c r="AG39" s="130"/>
      <c r="AH39" s="65"/>
      <c r="AI39" s="68"/>
      <c r="AJ39" s="65"/>
      <c r="AK39" s="62"/>
      <c r="AL39" s="68"/>
      <c r="AM39" s="68"/>
      <c r="AN39" s="136"/>
      <c r="AO39" s="68"/>
      <c r="AP39" s="68"/>
      <c r="AQ39" s="137"/>
      <c r="AR39" s="138"/>
      <c r="AS39" s="50">
        <f t="shared" si="6"/>
        <v>0</v>
      </c>
      <c r="AT39" s="51"/>
      <c r="AU39" s="52"/>
      <c r="AV39" s="52"/>
      <c r="AW39" s="52"/>
      <c r="AX39" s="52"/>
      <c r="AY39" s="57"/>
      <c r="AZ39" s="57"/>
      <c r="BA39" s="57"/>
      <c r="BB39" s="57"/>
      <c r="BC39" s="57"/>
      <c r="BD39" s="57"/>
      <c r="BE39" s="87"/>
      <c r="BF39" s="50">
        <f t="shared" si="37"/>
        <v>0</v>
      </c>
      <c r="BG39" s="51"/>
      <c r="BH39" s="52"/>
      <c r="BI39" s="52"/>
      <c r="BJ39" s="52"/>
      <c r="BK39" s="52"/>
      <c r="BL39" s="57"/>
      <c r="BM39" s="57"/>
      <c r="BN39" s="57"/>
      <c r="BO39" s="57"/>
      <c r="BP39" s="57"/>
      <c r="BQ39" s="57"/>
      <c r="BR39" s="87"/>
      <c r="BS39" s="63"/>
    </row>
    <row r="40" spans="1:71" s="49" customFormat="1" ht="85.5" hidden="1" customHeight="1" x14ac:dyDescent="0.35">
      <c r="A40" s="344" t="s">
        <v>45</v>
      </c>
      <c r="B40" s="345"/>
      <c r="C40" s="304"/>
      <c r="D40" s="50">
        <f>+E40+BF40</f>
        <v>0</v>
      </c>
      <c r="E40" s="50">
        <f t="shared" si="32"/>
        <v>0</v>
      </c>
      <c r="F40" s="139">
        <f t="shared" si="0"/>
        <v>0</v>
      </c>
      <c r="G40" s="51"/>
      <c r="H40" s="52"/>
      <c r="I40" s="52"/>
      <c r="J40" s="52"/>
      <c r="K40" s="140"/>
      <c r="L40" s="51"/>
      <c r="M40" s="52"/>
      <c r="N40" s="52"/>
      <c r="O40" s="52"/>
      <c r="P40" s="52"/>
      <c r="Q40" s="51"/>
      <c r="R40" s="132"/>
      <c r="S40" s="272">
        <f t="shared" si="2"/>
        <v>0</v>
      </c>
      <c r="T40" s="51"/>
      <c r="U40" s="52"/>
      <c r="V40" s="68"/>
      <c r="W40" s="68"/>
      <c r="X40" s="141"/>
      <c r="Y40" s="68"/>
      <c r="Z40" s="65"/>
      <c r="AA40" s="68"/>
      <c r="AB40" s="68"/>
      <c r="AC40" s="68"/>
      <c r="AD40" s="52"/>
      <c r="AE40" s="58"/>
      <c r="AF40" s="50">
        <f t="shared" si="4"/>
        <v>0</v>
      </c>
      <c r="AG40" s="130"/>
      <c r="AH40" s="65"/>
      <c r="AI40" s="68"/>
      <c r="AJ40" s="65"/>
      <c r="AK40" s="142"/>
      <c r="AL40" s="68"/>
      <c r="AM40" s="68"/>
      <c r="AN40" s="65"/>
      <c r="AO40" s="68"/>
      <c r="AP40" s="68"/>
      <c r="AQ40" s="52"/>
      <c r="AR40" s="61"/>
      <c r="AS40" s="50">
        <f t="shared" si="6"/>
        <v>0</v>
      </c>
      <c r="AT40" s="65"/>
      <c r="AU40" s="68"/>
      <c r="AV40" s="68"/>
      <c r="AW40" s="68"/>
      <c r="AX40" s="68"/>
      <c r="AY40" s="62"/>
      <c r="AZ40" s="62"/>
      <c r="BA40" s="62"/>
      <c r="BB40" s="62"/>
      <c r="BC40" s="62"/>
      <c r="BD40" s="62"/>
      <c r="BE40" s="61"/>
      <c r="BF40" s="50">
        <f t="shared" si="37"/>
        <v>0</v>
      </c>
      <c r="BG40" s="65"/>
      <c r="BH40" s="68"/>
      <c r="BI40" s="68"/>
      <c r="BJ40" s="68"/>
      <c r="BK40" s="68"/>
      <c r="BL40" s="62"/>
      <c r="BM40" s="62"/>
      <c r="BN40" s="62"/>
      <c r="BO40" s="62"/>
      <c r="BP40" s="62"/>
      <c r="BQ40" s="62"/>
      <c r="BR40" s="69"/>
      <c r="BS40" s="84"/>
    </row>
    <row r="41" spans="1:71" s="49" customFormat="1" ht="106.5" customHeight="1" x14ac:dyDescent="0.35">
      <c r="A41" s="203" t="s">
        <v>46</v>
      </c>
      <c r="B41" s="346"/>
      <c r="C41" s="307"/>
      <c r="D41" s="192">
        <f>+E41+BF41</f>
        <v>13814706.689999999</v>
      </c>
      <c r="E41" s="192">
        <f t="shared" si="32"/>
        <v>12841953.01</v>
      </c>
      <c r="F41" s="263">
        <f t="shared" si="0"/>
        <v>9726687.8100000005</v>
      </c>
      <c r="G41" s="264"/>
      <c r="H41" s="265"/>
      <c r="I41" s="265"/>
      <c r="J41" s="194"/>
      <c r="K41" s="204">
        <f>6606519.8</f>
        <v>6606519.7999999998</v>
      </c>
      <c r="L41" s="204"/>
      <c r="M41" s="204"/>
      <c r="N41" s="193"/>
      <c r="O41" s="204">
        <f>2218323.19</f>
        <v>2218323.19</v>
      </c>
      <c r="P41" s="204"/>
      <c r="Q41" s="266"/>
      <c r="R41" s="195">
        <v>901844.82</v>
      </c>
      <c r="S41" s="267">
        <f t="shared" si="2"/>
        <v>0</v>
      </c>
      <c r="T41" s="264"/>
      <c r="U41" s="265"/>
      <c r="V41" s="204"/>
      <c r="W41" s="197"/>
      <c r="X41" s="204"/>
      <c r="Y41" s="201"/>
      <c r="Z41" s="266"/>
      <c r="AA41" s="193"/>
      <c r="AB41" s="204"/>
      <c r="AC41" s="204"/>
      <c r="AD41" s="265"/>
      <c r="AE41" s="268"/>
      <c r="AF41" s="263">
        <f t="shared" si="4"/>
        <v>1715534.92</v>
      </c>
      <c r="AG41" s="200"/>
      <c r="AH41" s="269"/>
      <c r="AI41" s="193"/>
      <c r="AJ41" s="193"/>
      <c r="AK41" s="204"/>
      <c r="AL41" s="204"/>
      <c r="AM41" s="204"/>
      <c r="AN41" s="197"/>
      <c r="AO41" s="204"/>
      <c r="AP41" s="204">
        <f>295722+1419812.92</f>
        <v>1715534.92</v>
      </c>
      <c r="AQ41" s="204"/>
      <c r="AR41" s="270"/>
      <c r="AS41" s="263">
        <f t="shared" si="6"/>
        <v>1399730.28</v>
      </c>
      <c r="AT41" s="197"/>
      <c r="AU41" s="193"/>
      <c r="AV41" s="269"/>
      <c r="AW41" s="193"/>
      <c r="AX41" s="269"/>
      <c r="AY41" s="193"/>
      <c r="AZ41" s="269"/>
      <c r="BA41" s="269"/>
      <c r="BB41" s="193">
        <f>1399730.28</f>
        <v>1399730.28</v>
      </c>
      <c r="BC41" s="193"/>
      <c r="BD41" s="193"/>
      <c r="BE41" s="195"/>
      <c r="BF41" s="192">
        <f t="shared" si="37"/>
        <v>972753.68</v>
      </c>
      <c r="BG41" s="269"/>
      <c r="BH41" s="193"/>
      <c r="BI41" s="269"/>
      <c r="BJ41" s="193"/>
      <c r="BK41" s="193">
        <f>972753.68</f>
        <v>972753.68</v>
      </c>
      <c r="BL41" s="193"/>
      <c r="BM41" s="193"/>
      <c r="BN41" s="193"/>
      <c r="BO41" s="193"/>
      <c r="BP41" s="193"/>
      <c r="BQ41" s="193"/>
      <c r="BR41" s="195"/>
      <c r="BS41" s="208" t="s">
        <v>82</v>
      </c>
    </row>
    <row r="42" spans="1:71" s="49" customFormat="1" ht="46.5" customHeight="1" x14ac:dyDescent="0.35">
      <c r="A42" s="326" t="s">
        <v>47</v>
      </c>
      <c r="B42" s="327"/>
      <c r="C42" s="308"/>
      <c r="D42" s="71">
        <f>+E42+BF42</f>
        <v>9615590.379999999</v>
      </c>
      <c r="E42" s="71">
        <f t="shared" si="32"/>
        <v>0</v>
      </c>
      <c r="F42" s="71">
        <f t="shared" si="0"/>
        <v>0</v>
      </c>
      <c r="G42" s="144">
        <f t="shared" ref="G42:R42" si="45">SUM(G43:G43)</f>
        <v>0</v>
      </c>
      <c r="H42" s="145">
        <f t="shared" si="45"/>
        <v>0</v>
      </c>
      <c r="I42" s="145">
        <f t="shared" si="45"/>
        <v>0</v>
      </c>
      <c r="J42" s="145">
        <f t="shared" si="45"/>
        <v>0</v>
      </c>
      <c r="K42" s="123">
        <f t="shared" si="45"/>
        <v>0</v>
      </c>
      <c r="L42" s="73">
        <f t="shared" si="45"/>
        <v>0</v>
      </c>
      <c r="M42" s="73">
        <f t="shared" si="45"/>
        <v>0</v>
      </c>
      <c r="N42" s="73">
        <f t="shared" si="45"/>
        <v>0</v>
      </c>
      <c r="O42" s="73">
        <f t="shared" si="45"/>
        <v>0</v>
      </c>
      <c r="P42" s="73">
        <f t="shared" si="45"/>
        <v>0</v>
      </c>
      <c r="Q42" s="73">
        <f t="shared" si="45"/>
        <v>0</v>
      </c>
      <c r="R42" s="146">
        <f t="shared" si="45"/>
        <v>0</v>
      </c>
      <c r="S42" s="71">
        <f t="shared" si="2"/>
        <v>0</v>
      </c>
      <c r="T42" s="144">
        <f t="shared" ref="T42:AE42" si="46">SUM(T43:T43)</f>
        <v>0</v>
      </c>
      <c r="U42" s="145">
        <f t="shared" si="46"/>
        <v>0</v>
      </c>
      <c r="V42" s="145">
        <f t="shared" si="46"/>
        <v>0</v>
      </c>
      <c r="W42" s="145">
        <f t="shared" si="46"/>
        <v>0</v>
      </c>
      <c r="X42" s="123">
        <f t="shared" si="46"/>
        <v>0</v>
      </c>
      <c r="Y42" s="73">
        <f t="shared" si="46"/>
        <v>0</v>
      </c>
      <c r="Z42" s="73">
        <f t="shared" si="46"/>
        <v>0</v>
      </c>
      <c r="AA42" s="73">
        <f t="shared" si="46"/>
        <v>0</v>
      </c>
      <c r="AB42" s="73">
        <f t="shared" si="46"/>
        <v>0</v>
      </c>
      <c r="AC42" s="73">
        <f t="shared" si="46"/>
        <v>0</v>
      </c>
      <c r="AD42" s="73">
        <f t="shared" si="46"/>
        <v>0</v>
      </c>
      <c r="AE42" s="144">
        <f t="shared" si="46"/>
        <v>0</v>
      </c>
      <c r="AF42" s="71">
        <f t="shared" si="4"/>
        <v>0</v>
      </c>
      <c r="AG42" s="126">
        <f t="shared" ref="AG42:AR42" si="47">SUM(AG43:AG43)</f>
        <v>0</v>
      </c>
      <c r="AH42" s="72">
        <f t="shared" si="47"/>
        <v>0</v>
      </c>
      <c r="AI42" s="73">
        <f t="shared" si="47"/>
        <v>0</v>
      </c>
      <c r="AJ42" s="72">
        <f t="shared" si="47"/>
        <v>0</v>
      </c>
      <c r="AK42" s="147">
        <f t="shared" si="47"/>
        <v>0</v>
      </c>
      <c r="AL42" s="73">
        <f t="shared" si="47"/>
        <v>0</v>
      </c>
      <c r="AM42" s="73">
        <f t="shared" si="47"/>
        <v>0</v>
      </c>
      <c r="AN42" s="72">
        <f t="shared" si="47"/>
        <v>0</v>
      </c>
      <c r="AO42" s="73">
        <f t="shared" si="47"/>
        <v>0</v>
      </c>
      <c r="AP42" s="73">
        <f t="shared" si="47"/>
        <v>0</v>
      </c>
      <c r="AQ42" s="73">
        <f t="shared" si="47"/>
        <v>0</v>
      </c>
      <c r="AR42" s="75">
        <f t="shared" si="47"/>
        <v>0</v>
      </c>
      <c r="AS42" s="71">
        <f t="shared" si="6"/>
        <v>0</v>
      </c>
      <c r="AT42" s="126">
        <f t="shared" ref="AT42:BE42" si="48">SUM(AT43:AT43)</f>
        <v>0</v>
      </c>
      <c r="AU42" s="72">
        <f t="shared" si="48"/>
        <v>0</v>
      </c>
      <c r="AV42" s="73">
        <f t="shared" si="48"/>
        <v>0</v>
      </c>
      <c r="AW42" s="72">
        <f t="shared" si="48"/>
        <v>0</v>
      </c>
      <c r="AX42" s="147">
        <f t="shared" si="48"/>
        <v>0</v>
      </c>
      <c r="AY42" s="73">
        <f t="shared" si="48"/>
        <v>0</v>
      </c>
      <c r="AZ42" s="73">
        <f t="shared" si="48"/>
        <v>0</v>
      </c>
      <c r="BA42" s="72">
        <f t="shared" si="48"/>
        <v>0</v>
      </c>
      <c r="BB42" s="73">
        <f t="shared" si="48"/>
        <v>0</v>
      </c>
      <c r="BC42" s="73">
        <f t="shared" si="48"/>
        <v>0</v>
      </c>
      <c r="BD42" s="73">
        <f t="shared" si="48"/>
        <v>0</v>
      </c>
      <c r="BE42" s="75">
        <f t="shared" si="48"/>
        <v>0</v>
      </c>
      <c r="BF42" s="191">
        <f t="shared" si="37"/>
        <v>9615590.379999999</v>
      </c>
      <c r="BG42" s="273">
        <f t="shared" ref="BG42:BR42" si="49">SUM(BG43:BG43)</f>
        <v>0</v>
      </c>
      <c r="BH42" s="72">
        <f t="shared" si="49"/>
        <v>0</v>
      </c>
      <c r="BI42" s="73">
        <f t="shared" si="49"/>
        <v>2405212.2599999998</v>
      </c>
      <c r="BJ42" s="72">
        <f t="shared" si="49"/>
        <v>0</v>
      </c>
      <c r="BK42" s="147">
        <f t="shared" si="49"/>
        <v>2403964.0999999996</v>
      </c>
      <c r="BL42" s="73">
        <f t="shared" si="49"/>
        <v>2390833.63</v>
      </c>
      <c r="BM42" s="73">
        <f t="shared" si="49"/>
        <v>2415580.39</v>
      </c>
      <c r="BN42" s="72">
        <f t="shared" si="49"/>
        <v>0</v>
      </c>
      <c r="BO42" s="73">
        <f t="shared" si="49"/>
        <v>0</v>
      </c>
      <c r="BP42" s="73">
        <f t="shared" si="49"/>
        <v>0</v>
      </c>
      <c r="BQ42" s="73">
        <f t="shared" si="49"/>
        <v>0</v>
      </c>
      <c r="BR42" s="75">
        <f t="shared" si="49"/>
        <v>0</v>
      </c>
      <c r="BS42" s="148"/>
    </row>
    <row r="43" spans="1:71" ht="143.25" customHeight="1" thickBot="1" x14ac:dyDescent="0.4">
      <c r="A43" s="347" t="s">
        <v>48</v>
      </c>
      <c r="B43" s="348"/>
      <c r="C43" s="309"/>
      <c r="D43" s="149">
        <f>+E43+BF43</f>
        <v>9615590.379999999</v>
      </c>
      <c r="E43" s="295">
        <f t="shared" si="32"/>
        <v>0</v>
      </c>
      <c r="F43" s="149">
        <f t="shared" si="0"/>
        <v>0</v>
      </c>
      <c r="G43" s="150"/>
      <c r="H43" s="151"/>
      <c r="I43" s="151"/>
      <c r="J43" s="151"/>
      <c r="K43" s="151"/>
      <c r="L43" s="151"/>
      <c r="M43" s="151"/>
      <c r="N43" s="151"/>
      <c r="O43" s="151"/>
      <c r="P43" s="151"/>
      <c r="Q43" s="150"/>
      <c r="R43" s="152"/>
      <c r="S43" s="153">
        <f t="shared" ref="S43:S64" si="50">SUM(X43:AE43)</f>
        <v>0</v>
      </c>
      <c r="T43" s="150"/>
      <c r="U43" s="151"/>
      <c r="V43" s="154"/>
      <c r="W43" s="154"/>
      <c r="X43" s="155"/>
      <c r="Y43" s="155"/>
      <c r="Z43" s="156"/>
      <c r="AA43" s="155"/>
      <c r="AB43" s="155"/>
      <c r="AC43" s="155"/>
      <c r="AD43" s="155"/>
      <c r="AE43" s="155"/>
      <c r="AF43" s="149">
        <f t="shared" ref="AF43:AF64" si="51">SUM(AG43:AR43)</f>
        <v>0</v>
      </c>
      <c r="AG43" s="157"/>
      <c r="AH43" s="156"/>
      <c r="AI43" s="154"/>
      <c r="AJ43" s="158"/>
      <c r="AK43" s="155"/>
      <c r="AL43" s="155"/>
      <c r="AM43" s="155"/>
      <c r="AN43" s="156"/>
      <c r="AO43" s="155"/>
      <c r="AP43" s="155"/>
      <c r="AQ43" s="155"/>
      <c r="AR43" s="155"/>
      <c r="AS43" s="149">
        <f t="shared" si="6"/>
        <v>0</v>
      </c>
      <c r="AT43" s="159"/>
      <c r="AU43" s="155"/>
      <c r="AV43" s="155"/>
      <c r="AW43" s="155"/>
      <c r="AX43" s="155"/>
      <c r="AY43" s="202"/>
      <c r="AZ43" s="155"/>
      <c r="BA43" s="155"/>
      <c r="BB43" s="202"/>
      <c r="BC43" s="155"/>
      <c r="BD43" s="202"/>
      <c r="BE43" s="253"/>
      <c r="BF43" s="295">
        <f t="shared" si="37"/>
        <v>9615590.379999999</v>
      </c>
      <c r="BG43" s="252"/>
      <c r="BH43" s="202"/>
      <c r="BI43" s="202">
        <f>1193344.22+1211868.04</f>
        <v>2405212.2599999998</v>
      </c>
      <c r="BJ43" s="202"/>
      <c r="BK43" s="155">
        <f>1230327.21+1173636.89</f>
        <v>2403964.0999999996</v>
      </c>
      <c r="BL43" s="155">
        <f>1191656.64+1199176.99</f>
        <v>2390833.63</v>
      </c>
      <c r="BM43" s="155">
        <f>1203343.27+1212237.12</f>
        <v>2415580.39</v>
      </c>
      <c r="BN43" s="155"/>
      <c r="BO43" s="155"/>
      <c r="BP43" s="155"/>
      <c r="BQ43" s="155"/>
      <c r="BR43" s="160"/>
      <c r="BS43" s="258" t="s">
        <v>111</v>
      </c>
    </row>
    <row r="44" spans="1:71" ht="7.5" customHeight="1" thickTop="1" thickBot="1" x14ac:dyDescent="0.4">
      <c r="A44" s="349"/>
      <c r="B44" s="350"/>
      <c r="C44" s="161"/>
      <c r="D44" s="162"/>
      <c r="E44" s="162"/>
      <c r="F44" s="163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5">
        <f t="shared" si="50"/>
        <v>0</v>
      </c>
      <c r="T44" s="166"/>
      <c r="U44" s="166"/>
      <c r="V44" s="166"/>
      <c r="W44" s="166"/>
      <c r="X44" s="166"/>
      <c r="Y44" s="166"/>
      <c r="Z44" s="166"/>
      <c r="AA44" s="166"/>
      <c r="AB44" s="167"/>
      <c r="AC44" s="168"/>
      <c r="AD44" s="166"/>
      <c r="AE44" s="166"/>
      <c r="AF44" s="166">
        <f t="shared" si="51"/>
        <v>0</v>
      </c>
      <c r="AG44" s="167"/>
      <c r="AH44" s="166"/>
      <c r="AI44" s="169"/>
      <c r="AJ44" s="167"/>
      <c r="AK44" s="170"/>
      <c r="AL44" s="170"/>
      <c r="AM44" s="170"/>
      <c r="AN44" s="166"/>
      <c r="AO44" s="167"/>
      <c r="AP44" s="168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9"/>
      <c r="BG44" s="166"/>
      <c r="BH44" s="166"/>
      <c r="BI44" s="166"/>
      <c r="BJ44" s="166"/>
      <c r="BK44" s="166"/>
      <c r="BL44" s="166"/>
      <c r="BM44" s="166"/>
      <c r="BN44" s="166"/>
      <c r="BO44" s="166"/>
      <c r="BP44" s="166"/>
      <c r="BQ44" s="166"/>
      <c r="BR44" s="166"/>
      <c r="BS44" s="166"/>
    </row>
    <row r="45" spans="1:71" ht="39.75" customHeight="1" thickTop="1" x14ac:dyDescent="0.35">
      <c r="A45" s="171" t="s">
        <v>49</v>
      </c>
      <c r="B45" s="351"/>
      <c r="C45" s="310"/>
      <c r="D45" s="172">
        <f t="shared" ref="D45:D64" si="52">+E45+BF45</f>
        <v>12681331.420000002</v>
      </c>
      <c r="E45" s="172">
        <f t="shared" ref="E45:E64" si="53">+F45+S45+AF45+AS45</f>
        <v>6245134.7700000005</v>
      </c>
      <c r="F45" s="172">
        <f t="shared" ref="F45:F64" si="54">SUM(K45:R45)</f>
        <v>0</v>
      </c>
      <c r="G45" s="173">
        <f t="shared" ref="G45:R45" si="55">SUM(G46:G64)</f>
        <v>0</v>
      </c>
      <c r="H45" s="174">
        <f t="shared" si="55"/>
        <v>0</v>
      </c>
      <c r="I45" s="174">
        <f t="shared" si="55"/>
        <v>0</v>
      </c>
      <c r="J45" s="174">
        <f t="shared" si="55"/>
        <v>0</v>
      </c>
      <c r="K45" s="174">
        <f t="shared" si="55"/>
        <v>0</v>
      </c>
      <c r="L45" s="174">
        <f t="shared" si="55"/>
        <v>0</v>
      </c>
      <c r="M45" s="174">
        <f t="shared" si="55"/>
        <v>0</v>
      </c>
      <c r="N45" s="174">
        <f t="shared" si="55"/>
        <v>0</v>
      </c>
      <c r="O45" s="174">
        <f t="shared" si="55"/>
        <v>0</v>
      </c>
      <c r="P45" s="174">
        <f t="shared" si="55"/>
        <v>0</v>
      </c>
      <c r="Q45" s="174">
        <f t="shared" si="55"/>
        <v>0</v>
      </c>
      <c r="R45" s="175">
        <f t="shared" si="55"/>
        <v>0</v>
      </c>
      <c r="S45" s="172">
        <f t="shared" si="50"/>
        <v>5511526.9900000002</v>
      </c>
      <c r="T45" s="173">
        <f t="shared" ref="T45:AE45" si="56">SUM(T46:T64)</f>
        <v>0</v>
      </c>
      <c r="U45" s="174">
        <f t="shared" si="56"/>
        <v>0</v>
      </c>
      <c r="V45" s="174">
        <f t="shared" si="56"/>
        <v>0</v>
      </c>
      <c r="W45" s="174">
        <f t="shared" si="56"/>
        <v>0</v>
      </c>
      <c r="X45" s="174">
        <f t="shared" si="56"/>
        <v>0</v>
      </c>
      <c r="Y45" s="174">
        <f t="shared" si="56"/>
        <v>644309.87</v>
      </c>
      <c r="Z45" s="174">
        <f t="shared" si="56"/>
        <v>0</v>
      </c>
      <c r="AA45" s="174">
        <f t="shared" si="56"/>
        <v>667959.35000000009</v>
      </c>
      <c r="AB45" s="174">
        <f t="shared" si="56"/>
        <v>4199257.7699999996</v>
      </c>
      <c r="AC45" s="174">
        <f t="shared" si="56"/>
        <v>0</v>
      </c>
      <c r="AD45" s="174">
        <f t="shared" si="56"/>
        <v>0</v>
      </c>
      <c r="AE45" s="174">
        <f t="shared" si="56"/>
        <v>0</v>
      </c>
      <c r="AF45" s="176">
        <f t="shared" si="51"/>
        <v>100699.71</v>
      </c>
      <c r="AG45" s="177">
        <f t="shared" ref="AG45:AR45" si="57">SUM(AG46:AG64)</f>
        <v>0</v>
      </c>
      <c r="AH45" s="178">
        <f t="shared" si="57"/>
        <v>0</v>
      </c>
      <c r="AI45" s="177">
        <f t="shared" si="57"/>
        <v>0</v>
      </c>
      <c r="AJ45" s="178">
        <f t="shared" si="57"/>
        <v>0</v>
      </c>
      <c r="AK45" s="177">
        <f t="shared" si="57"/>
        <v>0</v>
      </c>
      <c r="AL45" s="177">
        <f t="shared" si="57"/>
        <v>0</v>
      </c>
      <c r="AM45" s="177">
        <f t="shared" si="57"/>
        <v>0</v>
      </c>
      <c r="AN45" s="178">
        <f t="shared" si="57"/>
        <v>0</v>
      </c>
      <c r="AO45" s="178">
        <f t="shared" si="57"/>
        <v>0</v>
      </c>
      <c r="AP45" s="178">
        <f t="shared" si="57"/>
        <v>0</v>
      </c>
      <c r="AQ45" s="178">
        <f t="shared" si="57"/>
        <v>100699.71</v>
      </c>
      <c r="AR45" s="179">
        <f t="shared" si="57"/>
        <v>0</v>
      </c>
      <c r="AS45" s="176">
        <f t="shared" ref="AS45:AS64" si="58">SUM(AT45:BE45)</f>
        <v>632908.07000000007</v>
      </c>
      <c r="AT45" s="177">
        <f t="shared" ref="AT45:BE45" si="59">SUM(AT46:AT64)</f>
        <v>0</v>
      </c>
      <c r="AU45" s="178">
        <f t="shared" si="59"/>
        <v>0</v>
      </c>
      <c r="AV45" s="177">
        <f t="shared" si="59"/>
        <v>0</v>
      </c>
      <c r="AW45" s="178">
        <f t="shared" si="59"/>
        <v>0</v>
      </c>
      <c r="AX45" s="177">
        <f t="shared" si="59"/>
        <v>208129.71</v>
      </c>
      <c r="AY45" s="177">
        <f t="shared" si="59"/>
        <v>0</v>
      </c>
      <c r="AZ45" s="177">
        <f t="shared" si="59"/>
        <v>0</v>
      </c>
      <c r="BA45" s="178">
        <f t="shared" si="59"/>
        <v>214983.97</v>
      </c>
      <c r="BB45" s="178">
        <f t="shared" si="59"/>
        <v>0</v>
      </c>
      <c r="BC45" s="178">
        <f t="shared" si="59"/>
        <v>0</v>
      </c>
      <c r="BD45" s="178">
        <f t="shared" si="59"/>
        <v>209794.39</v>
      </c>
      <c r="BE45" s="179">
        <f t="shared" si="59"/>
        <v>0</v>
      </c>
      <c r="BF45" s="176">
        <f t="shared" ref="BF45:BF64" si="60">SUM(BG45:BR45)</f>
        <v>6436196.6500000004</v>
      </c>
      <c r="BG45" s="178">
        <f t="shared" ref="BG45:BR45" si="61">SUM(BG46:BG64)</f>
        <v>0</v>
      </c>
      <c r="BH45" s="178">
        <f t="shared" si="61"/>
        <v>0</v>
      </c>
      <c r="BI45" s="177">
        <f t="shared" si="61"/>
        <v>2702746</v>
      </c>
      <c r="BJ45" s="178">
        <f t="shared" si="61"/>
        <v>0</v>
      </c>
      <c r="BK45" s="177">
        <f t="shared" si="61"/>
        <v>0</v>
      </c>
      <c r="BL45" s="177">
        <f t="shared" si="61"/>
        <v>3300125.1500000004</v>
      </c>
      <c r="BM45" s="177">
        <f t="shared" si="61"/>
        <v>433325.5</v>
      </c>
      <c r="BN45" s="178">
        <f t="shared" si="61"/>
        <v>0</v>
      </c>
      <c r="BO45" s="178">
        <f t="shared" si="61"/>
        <v>0</v>
      </c>
      <c r="BP45" s="178">
        <f t="shared" si="61"/>
        <v>0</v>
      </c>
      <c r="BQ45" s="178">
        <f t="shared" si="61"/>
        <v>0</v>
      </c>
      <c r="BR45" s="179">
        <f t="shared" si="61"/>
        <v>0</v>
      </c>
      <c r="BS45" s="180"/>
    </row>
    <row r="46" spans="1:71" ht="71.25" customHeight="1" x14ac:dyDescent="0.35">
      <c r="A46" s="203" t="s">
        <v>50</v>
      </c>
      <c r="B46" s="323"/>
      <c r="C46" s="299"/>
      <c r="D46" s="86">
        <f t="shared" si="52"/>
        <v>611366.69999999995</v>
      </c>
      <c r="E46" s="182">
        <f t="shared" si="53"/>
        <v>549804.68999999994</v>
      </c>
      <c r="F46" s="209">
        <f t="shared" si="54"/>
        <v>0</v>
      </c>
      <c r="G46" s="210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2"/>
      <c r="S46" s="213">
        <f t="shared" si="50"/>
        <v>549804.68999999994</v>
      </c>
      <c r="T46" s="214"/>
      <c r="U46" s="215"/>
      <c r="V46" s="216"/>
      <c r="W46" s="216"/>
      <c r="X46" s="216"/>
      <c r="Y46" s="217"/>
      <c r="Z46" s="218"/>
      <c r="AA46" s="219">
        <f>278891.83</f>
        <v>278891.83</v>
      </c>
      <c r="AB46" s="216">
        <f>77818.74+193094.12</f>
        <v>270912.86</v>
      </c>
      <c r="AC46" s="217"/>
      <c r="AD46" s="216"/>
      <c r="AE46" s="220"/>
      <c r="AF46" s="181">
        <f t="shared" si="51"/>
        <v>0</v>
      </c>
      <c r="AG46" s="221"/>
      <c r="AH46" s="214"/>
      <c r="AI46" s="216"/>
      <c r="AJ46" s="222"/>
      <c r="AK46" s="221"/>
      <c r="AL46" s="219"/>
      <c r="AM46" s="218"/>
      <c r="AN46" s="221"/>
      <c r="AO46" s="216"/>
      <c r="AP46" s="219"/>
      <c r="AQ46" s="219"/>
      <c r="AR46" s="223"/>
      <c r="AS46" s="181">
        <f t="shared" si="58"/>
        <v>0</v>
      </c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181">
        <f t="shared" si="60"/>
        <v>61562.01</v>
      </c>
      <c r="BG46" s="79"/>
      <c r="BH46" s="62"/>
      <c r="BI46" s="62"/>
      <c r="BJ46" s="62"/>
      <c r="BK46" s="193"/>
      <c r="BL46" s="193">
        <f>14342.82</f>
        <v>14342.82</v>
      </c>
      <c r="BM46" s="193">
        <f>47219.19</f>
        <v>47219.19</v>
      </c>
      <c r="BN46" s="62"/>
      <c r="BO46" s="62"/>
      <c r="BP46" s="62"/>
      <c r="BQ46" s="62"/>
      <c r="BR46" s="69"/>
      <c r="BS46" s="259" t="s">
        <v>101</v>
      </c>
    </row>
    <row r="47" spans="1:71" ht="56.25" customHeight="1" x14ac:dyDescent="0.35">
      <c r="A47" s="203" t="s">
        <v>51</v>
      </c>
      <c r="B47" s="323"/>
      <c r="C47" s="299"/>
      <c r="D47" s="86">
        <f t="shared" si="52"/>
        <v>33677.909999999996</v>
      </c>
      <c r="E47" s="182">
        <f t="shared" si="53"/>
        <v>29718.03</v>
      </c>
      <c r="F47" s="209">
        <f t="shared" si="54"/>
        <v>0</v>
      </c>
      <c r="G47" s="210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2"/>
      <c r="S47" s="213">
        <f t="shared" si="50"/>
        <v>29718.03</v>
      </c>
      <c r="T47" s="224"/>
      <c r="U47" s="218"/>
      <c r="V47" s="216"/>
      <c r="W47" s="216"/>
      <c r="X47" s="216"/>
      <c r="Y47" s="219"/>
      <c r="Z47" s="218"/>
      <c r="AA47" s="217"/>
      <c r="AB47" s="216">
        <f>29718.03</f>
        <v>29718.03</v>
      </c>
      <c r="AC47" s="217"/>
      <c r="AD47" s="216"/>
      <c r="AE47" s="220"/>
      <c r="AF47" s="182">
        <f t="shared" si="51"/>
        <v>0</v>
      </c>
      <c r="AG47" s="225"/>
      <c r="AH47" s="218"/>
      <c r="AI47" s="221"/>
      <c r="AJ47" s="222"/>
      <c r="AK47" s="221"/>
      <c r="AL47" s="219"/>
      <c r="AM47" s="218"/>
      <c r="AN47" s="221"/>
      <c r="AO47" s="216"/>
      <c r="AP47" s="219"/>
      <c r="AQ47" s="216"/>
      <c r="AR47" s="223"/>
      <c r="AS47" s="182">
        <f t="shared" si="58"/>
        <v>0</v>
      </c>
      <c r="AT47" s="79"/>
      <c r="AU47" s="62"/>
      <c r="AV47" s="62"/>
      <c r="AW47" s="62"/>
      <c r="AX47" s="62"/>
      <c r="AY47" s="62"/>
      <c r="AZ47" s="62"/>
      <c r="BA47" s="62"/>
      <c r="BB47" s="62"/>
      <c r="BC47" s="62"/>
      <c r="BD47" s="193"/>
      <c r="BE47" s="62"/>
      <c r="BF47" s="182">
        <f t="shared" si="60"/>
        <v>3959.88</v>
      </c>
      <c r="BG47" s="79"/>
      <c r="BH47" s="62"/>
      <c r="BI47" s="193"/>
      <c r="BJ47" s="193"/>
      <c r="BK47" s="193"/>
      <c r="BL47" s="193">
        <f>3959.88</f>
        <v>3959.88</v>
      </c>
      <c r="BM47" s="193"/>
      <c r="BN47" s="62"/>
      <c r="BO47" s="62"/>
      <c r="BP47" s="62"/>
      <c r="BQ47" s="62"/>
      <c r="BR47" s="69"/>
      <c r="BS47" s="259" t="s">
        <v>84</v>
      </c>
    </row>
    <row r="48" spans="1:71" ht="58.5" customHeight="1" x14ac:dyDescent="0.35">
      <c r="A48" s="203" t="s">
        <v>52</v>
      </c>
      <c r="B48" s="323"/>
      <c r="C48" s="299"/>
      <c r="D48" s="86">
        <f t="shared" si="52"/>
        <v>209894.79</v>
      </c>
      <c r="E48" s="182">
        <f t="shared" si="53"/>
        <v>177928.38</v>
      </c>
      <c r="F48" s="209">
        <f t="shared" si="54"/>
        <v>0</v>
      </c>
      <c r="G48" s="210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2"/>
      <c r="S48" s="213">
        <f t="shared" si="50"/>
        <v>177928.38</v>
      </c>
      <c r="T48" s="224"/>
      <c r="U48" s="218"/>
      <c r="V48" s="216"/>
      <c r="W48" s="216"/>
      <c r="X48" s="216"/>
      <c r="Y48" s="219"/>
      <c r="Z48" s="218"/>
      <c r="AA48" s="217"/>
      <c r="AB48" s="216">
        <f>177928.38</f>
        <v>177928.38</v>
      </c>
      <c r="AC48" s="217"/>
      <c r="AD48" s="216"/>
      <c r="AE48" s="217"/>
      <c r="AF48" s="182">
        <f t="shared" si="51"/>
        <v>0</v>
      </c>
      <c r="AG48" s="221"/>
      <c r="AH48" s="224"/>
      <c r="AI48" s="221"/>
      <c r="AJ48" s="222"/>
      <c r="AK48" s="217"/>
      <c r="AL48" s="219"/>
      <c r="AM48" s="218"/>
      <c r="AN48" s="221"/>
      <c r="AO48" s="216"/>
      <c r="AP48" s="219"/>
      <c r="AQ48" s="216"/>
      <c r="AR48" s="227"/>
      <c r="AS48" s="182">
        <f t="shared" si="58"/>
        <v>0</v>
      </c>
      <c r="AT48" s="79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182">
        <f t="shared" si="60"/>
        <v>31966.41</v>
      </c>
      <c r="BG48" s="79"/>
      <c r="BH48" s="62"/>
      <c r="BI48" s="62"/>
      <c r="BJ48" s="62"/>
      <c r="BK48" s="193"/>
      <c r="BL48" s="193">
        <f>11988.27</f>
        <v>11988.27</v>
      </c>
      <c r="BM48" s="193">
        <f>19978.14</f>
        <v>19978.14</v>
      </c>
      <c r="BN48" s="62"/>
      <c r="BO48" s="62"/>
      <c r="BP48" s="62"/>
      <c r="BQ48" s="62"/>
      <c r="BR48" s="69"/>
      <c r="BS48" s="259" t="s">
        <v>97</v>
      </c>
    </row>
    <row r="49" spans="1:71" ht="53.25" customHeight="1" x14ac:dyDescent="0.35">
      <c r="A49" s="203" t="s">
        <v>53</v>
      </c>
      <c r="B49" s="323"/>
      <c r="C49" s="299"/>
      <c r="D49" s="86">
        <f t="shared" si="52"/>
        <v>237932.61</v>
      </c>
      <c r="E49" s="182">
        <f t="shared" si="53"/>
        <v>219948.21</v>
      </c>
      <c r="F49" s="209">
        <f t="shared" si="54"/>
        <v>0</v>
      </c>
      <c r="G49" s="210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2"/>
      <c r="S49" s="213">
        <f t="shared" si="50"/>
        <v>219948.21</v>
      </c>
      <c r="T49" s="224"/>
      <c r="U49" s="218"/>
      <c r="V49" s="216"/>
      <c r="W49" s="216"/>
      <c r="X49" s="216"/>
      <c r="Y49" s="219"/>
      <c r="Z49" s="218"/>
      <c r="AA49" s="217"/>
      <c r="AB49" s="216">
        <f>219948.21</f>
        <v>219948.21</v>
      </c>
      <c r="AC49" s="217"/>
      <c r="AD49" s="216"/>
      <c r="AE49" s="217"/>
      <c r="AF49" s="182">
        <f t="shared" si="51"/>
        <v>0</v>
      </c>
      <c r="AG49" s="221"/>
      <c r="AH49" s="224"/>
      <c r="AI49" s="216"/>
      <c r="AJ49" s="222"/>
      <c r="AK49" s="217"/>
      <c r="AL49" s="219"/>
      <c r="AM49" s="218"/>
      <c r="AN49" s="221"/>
      <c r="AO49" s="216"/>
      <c r="AP49" s="219"/>
      <c r="AQ49" s="216"/>
      <c r="AR49" s="227"/>
      <c r="AS49" s="182">
        <f t="shared" si="58"/>
        <v>0</v>
      </c>
      <c r="AT49" s="79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182">
        <f t="shared" si="60"/>
        <v>17984.400000000001</v>
      </c>
      <c r="BG49" s="79"/>
      <c r="BH49" s="62"/>
      <c r="BI49" s="62"/>
      <c r="BJ49" s="62"/>
      <c r="BK49" s="193"/>
      <c r="BL49" s="193">
        <f>17984.4</f>
        <v>17984.400000000001</v>
      </c>
      <c r="BM49" s="193"/>
      <c r="BN49" s="62"/>
      <c r="BO49" s="62"/>
      <c r="BP49" s="62"/>
      <c r="BQ49" s="62"/>
      <c r="BR49" s="69"/>
      <c r="BS49" s="259" t="s">
        <v>86</v>
      </c>
    </row>
    <row r="50" spans="1:71" ht="62.25" customHeight="1" x14ac:dyDescent="0.35">
      <c r="A50" s="203" t="s">
        <v>54</v>
      </c>
      <c r="B50" s="323"/>
      <c r="C50" s="299"/>
      <c r="D50" s="86">
        <f t="shared" si="52"/>
        <v>99915.03</v>
      </c>
      <c r="E50" s="182">
        <f t="shared" si="53"/>
        <v>30494.73</v>
      </c>
      <c r="F50" s="209">
        <f t="shared" si="54"/>
        <v>0</v>
      </c>
      <c r="G50" s="210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2"/>
      <c r="S50" s="213">
        <f t="shared" si="50"/>
        <v>30494.73</v>
      </c>
      <c r="T50" s="224"/>
      <c r="U50" s="218"/>
      <c r="V50" s="216"/>
      <c r="W50" s="216"/>
      <c r="X50" s="216"/>
      <c r="Y50" s="219"/>
      <c r="Z50" s="219"/>
      <c r="AA50" s="217"/>
      <c r="AB50" s="216">
        <f>30494.73</f>
        <v>30494.73</v>
      </c>
      <c r="AC50" s="217"/>
      <c r="AD50" s="216"/>
      <c r="AE50" s="220"/>
      <c r="AF50" s="182">
        <f t="shared" si="51"/>
        <v>0</v>
      </c>
      <c r="AG50" s="225"/>
      <c r="AH50" s="224"/>
      <c r="AI50" s="217"/>
      <c r="AJ50" s="222"/>
      <c r="AK50" s="217"/>
      <c r="AL50" s="219"/>
      <c r="AM50" s="219"/>
      <c r="AN50" s="221"/>
      <c r="AO50" s="216"/>
      <c r="AP50" s="219"/>
      <c r="AQ50" s="216"/>
      <c r="AR50" s="227"/>
      <c r="AS50" s="182">
        <f t="shared" si="58"/>
        <v>0</v>
      </c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182">
        <f t="shared" si="60"/>
        <v>69420.3</v>
      </c>
      <c r="BG50" s="79"/>
      <c r="BH50" s="62"/>
      <c r="BI50" s="62"/>
      <c r="BJ50" s="193"/>
      <c r="BK50" s="193"/>
      <c r="BL50" s="193">
        <f>30794.32</f>
        <v>30794.32</v>
      </c>
      <c r="BM50" s="193">
        <f>38625.98</f>
        <v>38625.980000000003</v>
      </c>
      <c r="BN50" s="62"/>
      <c r="BO50" s="62"/>
      <c r="BP50" s="62"/>
      <c r="BQ50" s="62"/>
      <c r="BR50" s="69"/>
      <c r="BS50" s="259" t="s">
        <v>97</v>
      </c>
    </row>
    <row r="51" spans="1:71" ht="52.5" customHeight="1" x14ac:dyDescent="0.35">
      <c r="A51" s="203" t="s">
        <v>55</v>
      </c>
      <c r="B51" s="323"/>
      <c r="C51" s="299"/>
      <c r="D51" s="86">
        <f t="shared" si="52"/>
        <v>330786.71000000002</v>
      </c>
      <c r="E51" s="182">
        <f t="shared" si="53"/>
        <v>115946.24000000001</v>
      </c>
      <c r="F51" s="209">
        <f t="shared" si="54"/>
        <v>0</v>
      </c>
      <c r="G51" s="210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2"/>
      <c r="S51" s="213">
        <f t="shared" si="50"/>
        <v>115946.24000000001</v>
      </c>
      <c r="T51" s="224"/>
      <c r="U51" s="218"/>
      <c r="V51" s="218"/>
      <c r="W51" s="216"/>
      <c r="X51" s="216"/>
      <c r="Y51" s="217"/>
      <c r="Z51" s="218"/>
      <c r="AA51" s="217"/>
      <c r="AB51" s="216">
        <f>115946.24</f>
        <v>115946.24000000001</v>
      </c>
      <c r="AC51" s="217"/>
      <c r="AD51" s="216"/>
      <c r="AE51" s="217"/>
      <c r="AF51" s="182">
        <f t="shared" si="51"/>
        <v>0</v>
      </c>
      <c r="AG51" s="225"/>
      <c r="AH51" s="224"/>
      <c r="AI51" s="216"/>
      <c r="AJ51" s="222"/>
      <c r="AK51" s="221"/>
      <c r="AL51" s="219"/>
      <c r="AM51" s="218"/>
      <c r="AN51" s="221"/>
      <c r="AO51" s="216"/>
      <c r="AP51" s="216"/>
      <c r="AQ51" s="216"/>
      <c r="AR51" s="227"/>
      <c r="AS51" s="182">
        <f t="shared" si="58"/>
        <v>0</v>
      </c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193"/>
      <c r="BE51" s="195"/>
      <c r="BF51" s="182">
        <f t="shared" si="60"/>
        <v>214840.47</v>
      </c>
      <c r="BG51" s="197"/>
      <c r="BH51" s="193"/>
      <c r="BI51" s="193"/>
      <c r="BJ51" s="193"/>
      <c r="BK51" s="193"/>
      <c r="BL51" s="193">
        <f>75653.5</f>
        <v>75653.5</v>
      </c>
      <c r="BM51" s="193">
        <f>139186.97</f>
        <v>139186.97</v>
      </c>
      <c r="BN51" s="62"/>
      <c r="BO51" s="62"/>
      <c r="BP51" s="62"/>
      <c r="BQ51" s="62"/>
      <c r="BR51" s="69"/>
      <c r="BS51" s="259" t="s">
        <v>97</v>
      </c>
    </row>
    <row r="52" spans="1:71" ht="57.75" customHeight="1" x14ac:dyDescent="0.35">
      <c r="A52" s="203" t="s">
        <v>56</v>
      </c>
      <c r="B52" s="323"/>
      <c r="C52" s="299"/>
      <c r="D52" s="86">
        <f t="shared" si="52"/>
        <v>5638.7300000000005</v>
      </c>
      <c r="E52" s="182">
        <f t="shared" si="53"/>
        <v>3856.32</v>
      </c>
      <c r="F52" s="209">
        <f t="shared" si="54"/>
        <v>0</v>
      </c>
      <c r="G52" s="210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2"/>
      <c r="S52" s="213">
        <f t="shared" si="50"/>
        <v>3856.32</v>
      </c>
      <c r="T52" s="224"/>
      <c r="U52" s="215"/>
      <c r="V52" s="219"/>
      <c r="W52" s="216"/>
      <c r="X52" s="216"/>
      <c r="Y52" s="219"/>
      <c r="Z52" s="219"/>
      <c r="AA52" s="217"/>
      <c r="AB52" s="222">
        <f>3856.32</f>
        <v>3856.32</v>
      </c>
      <c r="AC52" s="217"/>
      <c r="AD52" s="216"/>
      <c r="AE52" s="217"/>
      <c r="AF52" s="182">
        <f t="shared" si="51"/>
        <v>0</v>
      </c>
      <c r="AG52" s="225"/>
      <c r="AH52" s="214"/>
      <c r="AI52" s="219"/>
      <c r="AJ52" s="222"/>
      <c r="AK52" s="216"/>
      <c r="AL52" s="219"/>
      <c r="AM52" s="219"/>
      <c r="AN52" s="221"/>
      <c r="AO52" s="222"/>
      <c r="AP52" s="219"/>
      <c r="AQ52" s="219"/>
      <c r="AR52" s="227"/>
      <c r="AS52" s="182">
        <f t="shared" si="58"/>
        <v>0</v>
      </c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182">
        <f t="shared" si="60"/>
        <v>1782.41</v>
      </c>
      <c r="BG52" s="79"/>
      <c r="BH52" s="62"/>
      <c r="BI52" s="193"/>
      <c r="BJ52" s="193"/>
      <c r="BK52" s="193"/>
      <c r="BL52" s="193">
        <f>594.27</f>
        <v>594.27</v>
      </c>
      <c r="BM52" s="193">
        <f>1188.14</f>
        <v>1188.1400000000001</v>
      </c>
      <c r="BN52" s="62"/>
      <c r="BO52" s="62"/>
      <c r="BP52" s="62"/>
      <c r="BQ52" s="62"/>
      <c r="BR52" s="69"/>
      <c r="BS52" s="259" t="s">
        <v>98</v>
      </c>
    </row>
    <row r="53" spans="1:71" ht="49.5" customHeight="1" x14ac:dyDescent="0.35">
      <c r="A53" s="203" t="s">
        <v>57</v>
      </c>
      <c r="B53" s="323"/>
      <c r="C53" s="299"/>
      <c r="D53" s="86">
        <f t="shared" si="52"/>
        <v>140188.65</v>
      </c>
      <c r="E53" s="182">
        <f t="shared" si="53"/>
        <v>30389.55</v>
      </c>
      <c r="F53" s="209">
        <f t="shared" si="54"/>
        <v>0</v>
      </c>
      <c r="G53" s="210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2"/>
      <c r="S53" s="213">
        <f t="shared" si="50"/>
        <v>30389.55</v>
      </c>
      <c r="T53" s="214"/>
      <c r="U53" s="218"/>
      <c r="V53" s="218"/>
      <c r="W53" s="216"/>
      <c r="X53" s="216"/>
      <c r="Y53" s="217"/>
      <c r="Z53" s="218"/>
      <c r="AA53" s="217"/>
      <c r="AB53" s="216">
        <f>30389.55</f>
        <v>30389.55</v>
      </c>
      <c r="AC53" s="216"/>
      <c r="AD53" s="216"/>
      <c r="AE53" s="227"/>
      <c r="AF53" s="182">
        <f t="shared" si="51"/>
        <v>0</v>
      </c>
      <c r="AG53" s="216"/>
      <c r="AH53" s="218"/>
      <c r="AI53" s="221"/>
      <c r="AJ53" s="222"/>
      <c r="AK53" s="221"/>
      <c r="AL53" s="221"/>
      <c r="AM53" s="218"/>
      <c r="AN53" s="221"/>
      <c r="AO53" s="216"/>
      <c r="AP53" s="216"/>
      <c r="AQ53" s="216"/>
      <c r="AR53" s="227"/>
      <c r="AS53" s="182">
        <f t="shared" si="58"/>
        <v>0</v>
      </c>
      <c r="AT53" s="79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9"/>
      <c r="BF53" s="182">
        <f t="shared" si="60"/>
        <v>109799.1</v>
      </c>
      <c r="BG53" s="79"/>
      <c r="BH53" s="193"/>
      <c r="BI53" s="193"/>
      <c r="BJ53" s="193"/>
      <c r="BK53" s="193"/>
      <c r="BL53" s="193">
        <f>54899.55</f>
        <v>54899.55</v>
      </c>
      <c r="BM53" s="193">
        <f>54899.55</f>
        <v>54899.55</v>
      </c>
      <c r="BN53" s="62"/>
      <c r="BO53" s="62"/>
      <c r="BP53" s="62"/>
      <c r="BQ53" s="62"/>
      <c r="BR53" s="69"/>
      <c r="BS53" s="260" t="s">
        <v>102</v>
      </c>
    </row>
    <row r="54" spans="1:71" ht="54" customHeight="1" x14ac:dyDescent="0.35">
      <c r="A54" s="203" t="s">
        <v>58</v>
      </c>
      <c r="B54" s="323"/>
      <c r="C54" s="299"/>
      <c r="D54" s="86">
        <f t="shared" si="52"/>
        <v>50403.26</v>
      </c>
      <c r="E54" s="182">
        <f t="shared" si="53"/>
        <v>45810.47</v>
      </c>
      <c r="F54" s="209">
        <f t="shared" si="54"/>
        <v>0</v>
      </c>
      <c r="G54" s="210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2"/>
      <c r="S54" s="213">
        <f t="shared" si="50"/>
        <v>45810.47</v>
      </c>
      <c r="T54" s="224"/>
      <c r="U54" s="218"/>
      <c r="V54" s="219"/>
      <c r="W54" s="216"/>
      <c r="X54" s="216"/>
      <c r="Y54" s="219"/>
      <c r="Z54" s="219"/>
      <c r="AA54" s="217"/>
      <c r="AB54" s="216">
        <f>24512+21298.47</f>
        <v>45810.47</v>
      </c>
      <c r="AC54" s="217"/>
      <c r="AD54" s="216"/>
      <c r="AE54" s="217"/>
      <c r="AF54" s="182">
        <f t="shared" si="51"/>
        <v>0</v>
      </c>
      <c r="AG54" s="225"/>
      <c r="AH54" s="218"/>
      <c r="AI54" s="221"/>
      <c r="AJ54" s="222"/>
      <c r="AK54" s="221"/>
      <c r="AL54" s="219"/>
      <c r="AM54" s="219"/>
      <c r="AN54" s="221"/>
      <c r="AO54" s="216"/>
      <c r="AP54" s="221"/>
      <c r="AQ54" s="216"/>
      <c r="AR54" s="227"/>
      <c r="AS54" s="182">
        <f t="shared" si="58"/>
        <v>0</v>
      </c>
      <c r="AT54" s="79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182">
        <f t="shared" si="60"/>
        <v>4592.79</v>
      </c>
      <c r="BG54" s="79"/>
      <c r="BH54" s="62"/>
      <c r="BI54" s="193"/>
      <c r="BJ54" s="193"/>
      <c r="BK54" s="193"/>
      <c r="BL54" s="193">
        <f>4592.79</f>
        <v>4592.79</v>
      </c>
      <c r="BM54" s="193"/>
      <c r="BN54" s="62"/>
      <c r="BO54" s="62"/>
      <c r="BP54" s="62"/>
      <c r="BQ54" s="62"/>
      <c r="BR54" s="69"/>
      <c r="BS54" s="260" t="s">
        <v>87</v>
      </c>
    </row>
    <row r="55" spans="1:71" ht="86.25" customHeight="1" x14ac:dyDescent="0.35">
      <c r="A55" s="341" t="s">
        <v>41</v>
      </c>
      <c r="B55" s="323"/>
      <c r="C55" s="299"/>
      <c r="D55" s="86">
        <f t="shared" si="52"/>
        <v>156</v>
      </c>
      <c r="E55" s="182">
        <f t="shared" si="53"/>
        <v>0</v>
      </c>
      <c r="F55" s="209">
        <f t="shared" si="54"/>
        <v>0</v>
      </c>
      <c r="G55" s="210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2"/>
      <c r="S55" s="213">
        <f t="shared" si="50"/>
        <v>0</v>
      </c>
      <c r="T55" s="228"/>
      <c r="U55" s="218"/>
      <c r="V55" s="216"/>
      <c r="W55" s="216"/>
      <c r="X55" s="216"/>
      <c r="Y55" s="217"/>
      <c r="Z55" s="216"/>
      <c r="AA55" s="217"/>
      <c r="AB55" s="216"/>
      <c r="AC55" s="216"/>
      <c r="AD55" s="216"/>
      <c r="AE55" s="227"/>
      <c r="AF55" s="182">
        <f t="shared" si="51"/>
        <v>0</v>
      </c>
      <c r="AG55" s="216"/>
      <c r="AH55" s="224"/>
      <c r="AI55" s="216"/>
      <c r="AJ55" s="221"/>
      <c r="AK55" s="216"/>
      <c r="AL55" s="217"/>
      <c r="AM55" s="216"/>
      <c r="AN55" s="221"/>
      <c r="AO55" s="216"/>
      <c r="AP55" s="221"/>
      <c r="AQ55" s="216"/>
      <c r="AR55" s="227"/>
      <c r="AS55" s="182">
        <f t="shared" si="58"/>
        <v>0</v>
      </c>
      <c r="AT55" s="79"/>
      <c r="AU55" s="62"/>
      <c r="AV55" s="62"/>
      <c r="AW55" s="62"/>
      <c r="AX55" s="62"/>
      <c r="AY55" s="62"/>
      <c r="AZ55" s="62"/>
      <c r="BA55" s="62"/>
      <c r="BB55" s="62"/>
      <c r="BC55" s="62"/>
      <c r="BD55" s="193"/>
      <c r="BE55" s="193"/>
      <c r="BF55" s="182">
        <f t="shared" si="60"/>
        <v>156</v>
      </c>
      <c r="BG55" s="197"/>
      <c r="BH55" s="193"/>
      <c r="BI55" s="193"/>
      <c r="BJ55" s="193"/>
      <c r="BK55" s="193"/>
      <c r="BL55" s="193">
        <f>78</f>
        <v>78</v>
      </c>
      <c r="BM55" s="193">
        <f>78</f>
        <v>78</v>
      </c>
      <c r="BN55" s="62"/>
      <c r="BO55" s="62"/>
      <c r="BP55" s="62"/>
      <c r="BQ55" s="62"/>
      <c r="BR55" s="69"/>
      <c r="BS55" s="260" t="s">
        <v>99</v>
      </c>
    </row>
    <row r="56" spans="1:71" ht="57" customHeight="1" x14ac:dyDescent="0.35">
      <c r="A56" s="203" t="s">
        <v>59</v>
      </c>
      <c r="B56" s="337"/>
      <c r="C56" s="305"/>
      <c r="D56" s="86">
        <f t="shared" si="52"/>
        <v>8854.4599999999991</v>
      </c>
      <c r="E56" s="182">
        <f t="shared" si="53"/>
        <v>0</v>
      </c>
      <c r="F56" s="229">
        <f t="shared" si="54"/>
        <v>0</v>
      </c>
      <c r="G56" s="230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2"/>
      <c r="S56" s="213">
        <f t="shared" si="50"/>
        <v>0</v>
      </c>
      <c r="T56" s="224"/>
      <c r="U56" s="218"/>
      <c r="V56" s="216"/>
      <c r="W56" s="216"/>
      <c r="X56" s="216"/>
      <c r="Y56" s="216"/>
      <c r="Z56" s="216"/>
      <c r="AA56" s="217"/>
      <c r="AB56" s="217"/>
      <c r="AC56" s="217"/>
      <c r="AD56" s="216"/>
      <c r="AE56" s="220"/>
      <c r="AF56" s="181">
        <f t="shared" si="51"/>
        <v>0</v>
      </c>
      <c r="AG56" s="221"/>
      <c r="AH56" s="224"/>
      <c r="AI56" s="221"/>
      <c r="AJ56" s="222"/>
      <c r="AK56" s="221"/>
      <c r="AL56" s="216"/>
      <c r="AM56" s="216"/>
      <c r="AN56" s="221"/>
      <c r="AO56" s="217"/>
      <c r="AP56" s="221"/>
      <c r="AQ56" s="216"/>
      <c r="AR56" s="227"/>
      <c r="AS56" s="181">
        <f t="shared" si="58"/>
        <v>0</v>
      </c>
      <c r="AT56" s="79"/>
      <c r="AU56" s="62"/>
      <c r="AV56" s="62"/>
      <c r="AW56" s="62"/>
      <c r="AX56" s="62"/>
      <c r="AY56" s="62"/>
      <c r="AZ56" s="62"/>
      <c r="BA56" s="62"/>
      <c r="BB56" s="62" t="s">
        <v>60</v>
      </c>
      <c r="BC56" s="62"/>
      <c r="BD56" s="62"/>
      <c r="BE56" s="62"/>
      <c r="BF56" s="181">
        <f t="shared" si="60"/>
        <v>8854.4599999999991</v>
      </c>
      <c r="BG56" s="197"/>
      <c r="BH56" s="193"/>
      <c r="BI56" s="193"/>
      <c r="BJ56" s="193"/>
      <c r="BK56" s="193"/>
      <c r="BL56" s="193">
        <f>5124.46</f>
        <v>5124.46</v>
      </c>
      <c r="BM56" s="193">
        <f>3730</f>
        <v>3730</v>
      </c>
      <c r="BN56" s="62"/>
      <c r="BO56" s="62"/>
      <c r="BP56" s="62"/>
      <c r="BQ56" s="62"/>
      <c r="BR56" s="69"/>
      <c r="BS56" s="260" t="s">
        <v>99</v>
      </c>
    </row>
    <row r="57" spans="1:71" ht="92.25" customHeight="1" x14ac:dyDescent="0.35">
      <c r="A57" s="352" t="s">
        <v>61</v>
      </c>
      <c r="B57" s="353"/>
      <c r="C57" s="311"/>
      <c r="D57" s="196">
        <f t="shared" si="52"/>
        <v>1495226.9100000001</v>
      </c>
      <c r="E57" s="182">
        <f t="shared" si="53"/>
        <v>1238387.8500000001</v>
      </c>
      <c r="F57" s="233">
        <f t="shared" si="54"/>
        <v>0</v>
      </c>
      <c r="G57" s="234"/>
      <c r="H57" s="235"/>
      <c r="I57" s="235"/>
      <c r="J57" s="235"/>
      <c r="K57" s="235"/>
      <c r="L57" s="235"/>
      <c r="M57" s="235"/>
      <c r="N57" s="235"/>
      <c r="O57" s="235"/>
      <c r="P57" s="235"/>
      <c r="Q57" s="235"/>
      <c r="R57" s="236"/>
      <c r="S57" s="213">
        <f t="shared" si="50"/>
        <v>1137688.1400000001</v>
      </c>
      <c r="T57" s="234"/>
      <c r="U57" s="235"/>
      <c r="V57" s="216"/>
      <c r="W57" s="216"/>
      <c r="X57" s="216"/>
      <c r="Y57" s="262">
        <f>644309.87</f>
        <v>644309.87</v>
      </c>
      <c r="Z57" s="262"/>
      <c r="AA57" s="262">
        <f>389067.52</f>
        <v>389067.52000000002</v>
      </c>
      <c r="AB57" s="262">
        <f>104310.75</f>
        <v>104310.75</v>
      </c>
      <c r="AC57" s="216"/>
      <c r="AD57" s="216"/>
      <c r="AE57" s="227"/>
      <c r="AF57" s="181">
        <f t="shared" si="51"/>
        <v>100699.71</v>
      </c>
      <c r="AG57" s="216"/>
      <c r="AH57" s="234"/>
      <c r="AI57" s="216"/>
      <c r="AJ57" s="221"/>
      <c r="AK57" s="221"/>
      <c r="AL57" s="216"/>
      <c r="AM57" s="216"/>
      <c r="AN57" s="221"/>
      <c r="AO57" s="216"/>
      <c r="AP57" s="221"/>
      <c r="AQ57" s="216">
        <f>100699.71</f>
        <v>100699.71</v>
      </c>
      <c r="AR57" s="227"/>
      <c r="AS57" s="181">
        <f t="shared" si="58"/>
        <v>0</v>
      </c>
      <c r="AT57" s="197"/>
      <c r="AU57" s="193"/>
      <c r="AV57" s="193"/>
      <c r="AW57" s="193"/>
      <c r="AX57" s="193"/>
      <c r="AY57" s="193"/>
      <c r="AZ57" s="193"/>
      <c r="BA57" s="193"/>
      <c r="BB57" s="193"/>
      <c r="BC57" s="62"/>
      <c r="BD57" s="62"/>
      <c r="BE57" s="62"/>
      <c r="BF57" s="181">
        <f t="shared" si="60"/>
        <v>256839.06</v>
      </c>
      <c r="BG57" s="197"/>
      <c r="BH57" s="193"/>
      <c r="BI57" s="193"/>
      <c r="BJ57" s="193"/>
      <c r="BK57" s="193"/>
      <c r="BL57" s="193">
        <f>128419.53</f>
        <v>128419.53</v>
      </c>
      <c r="BM57" s="193">
        <f>128419.53</f>
        <v>128419.53</v>
      </c>
      <c r="BN57" s="62"/>
      <c r="BO57" s="62"/>
      <c r="BP57" s="62"/>
      <c r="BQ57" s="62"/>
      <c r="BR57" s="69"/>
      <c r="BS57" s="259" t="s">
        <v>100</v>
      </c>
    </row>
    <row r="58" spans="1:71" ht="53.25" customHeight="1" x14ac:dyDescent="0.35">
      <c r="A58" s="336" t="s">
        <v>13</v>
      </c>
      <c r="B58" s="354"/>
      <c r="C58" s="312"/>
      <c r="D58" s="86">
        <f t="shared" si="52"/>
        <v>3517380.6</v>
      </c>
      <c r="E58" s="182">
        <f t="shared" si="53"/>
        <v>0</v>
      </c>
      <c r="F58" s="233">
        <f t="shared" si="54"/>
        <v>0</v>
      </c>
      <c r="G58" s="234"/>
      <c r="H58" s="235"/>
      <c r="I58" s="235"/>
      <c r="J58" s="235"/>
      <c r="K58" s="235"/>
      <c r="L58" s="235"/>
      <c r="M58" s="235"/>
      <c r="N58" s="235"/>
      <c r="O58" s="235"/>
      <c r="P58" s="235"/>
      <c r="Q58" s="235"/>
      <c r="R58" s="236"/>
      <c r="S58" s="213">
        <f t="shared" si="50"/>
        <v>0</v>
      </c>
      <c r="T58" s="234"/>
      <c r="U58" s="235"/>
      <c r="V58" s="216"/>
      <c r="W58" s="216"/>
      <c r="X58" s="216"/>
      <c r="Y58" s="216"/>
      <c r="Z58" s="216"/>
      <c r="AA58" s="216"/>
      <c r="AB58" s="216"/>
      <c r="AC58" s="216"/>
      <c r="AD58" s="216"/>
      <c r="AE58" s="227"/>
      <c r="AF58" s="181">
        <f t="shared" si="51"/>
        <v>0</v>
      </c>
      <c r="AG58" s="237"/>
      <c r="AH58" s="221"/>
      <c r="AI58" s="216"/>
      <c r="AJ58" s="222"/>
      <c r="AK58" s="216"/>
      <c r="AL58" s="216"/>
      <c r="AM58" s="216"/>
      <c r="AN58" s="222"/>
      <c r="AO58" s="216"/>
      <c r="AP58" s="216"/>
      <c r="AQ58" s="238"/>
      <c r="AR58" s="227"/>
      <c r="AS58" s="181">
        <f t="shared" si="58"/>
        <v>0</v>
      </c>
      <c r="AT58" s="79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181">
        <f t="shared" si="60"/>
        <v>3517380.6</v>
      </c>
      <c r="BG58" s="79"/>
      <c r="BH58" s="62"/>
      <c r="BI58" s="193">
        <f>1792746</f>
        <v>1792746</v>
      </c>
      <c r="BJ58" s="193"/>
      <c r="BK58" s="193"/>
      <c r="BL58" s="193">
        <f>1724634.6</f>
        <v>1724634.6</v>
      </c>
      <c r="BM58" s="62"/>
      <c r="BN58" s="62"/>
      <c r="BO58" s="62"/>
      <c r="BP58" s="62"/>
      <c r="BQ58" s="62"/>
      <c r="BR58" s="69"/>
      <c r="BS58" s="260" t="s">
        <v>93</v>
      </c>
    </row>
    <row r="59" spans="1:71" ht="79.5" customHeight="1" x14ac:dyDescent="0.35">
      <c r="A59" s="203" t="s">
        <v>62</v>
      </c>
      <c r="B59" s="354"/>
      <c r="C59" s="312"/>
      <c r="D59" s="86">
        <f t="shared" si="52"/>
        <v>1670</v>
      </c>
      <c r="E59" s="182">
        <f t="shared" si="53"/>
        <v>1550</v>
      </c>
      <c r="F59" s="233">
        <f t="shared" si="54"/>
        <v>0</v>
      </c>
      <c r="G59" s="234"/>
      <c r="H59" s="235"/>
      <c r="I59" s="235"/>
      <c r="J59" s="235"/>
      <c r="K59" s="235"/>
      <c r="L59" s="235"/>
      <c r="M59" s="235"/>
      <c r="N59" s="235"/>
      <c r="O59" s="235"/>
      <c r="P59" s="235"/>
      <c r="Q59" s="235"/>
      <c r="R59" s="236"/>
      <c r="S59" s="213">
        <f t="shared" si="50"/>
        <v>670</v>
      </c>
      <c r="T59" s="234"/>
      <c r="U59" s="235"/>
      <c r="V59" s="216"/>
      <c r="W59" s="216"/>
      <c r="X59" s="216"/>
      <c r="Y59" s="216"/>
      <c r="Z59" s="216"/>
      <c r="AA59" s="218"/>
      <c r="AB59" s="216">
        <f>670</f>
        <v>670</v>
      </c>
      <c r="AC59" s="217"/>
      <c r="AD59" s="216"/>
      <c r="AE59" s="227"/>
      <c r="AF59" s="182">
        <f t="shared" si="51"/>
        <v>0</v>
      </c>
      <c r="AG59" s="216"/>
      <c r="AH59" s="234"/>
      <c r="AI59" s="216"/>
      <c r="AJ59" s="222"/>
      <c r="AK59" s="216"/>
      <c r="AL59" s="216"/>
      <c r="AM59" s="216"/>
      <c r="AN59" s="224"/>
      <c r="AO59" s="216"/>
      <c r="AP59" s="217"/>
      <c r="AQ59" s="238"/>
      <c r="AR59" s="227"/>
      <c r="AS59" s="182">
        <f t="shared" si="58"/>
        <v>880</v>
      </c>
      <c r="AT59" s="79"/>
      <c r="AU59" s="62"/>
      <c r="AV59" s="62"/>
      <c r="AW59" s="62"/>
      <c r="AX59" s="193"/>
      <c r="AY59" s="193"/>
      <c r="AZ59" s="193"/>
      <c r="BA59" s="193"/>
      <c r="BB59" s="193"/>
      <c r="BC59" s="193"/>
      <c r="BD59" s="193">
        <f>880</f>
        <v>880</v>
      </c>
      <c r="BE59" s="193"/>
      <c r="BF59" s="182">
        <f t="shared" si="60"/>
        <v>120</v>
      </c>
      <c r="BG59" s="79"/>
      <c r="BH59" s="62"/>
      <c r="BI59" s="193"/>
      <c r="BJ59" s="193"/>
      <c r="BK59" s="193"/>
      <c r="BL59" s="193">
        <f>120</f>
        <v>120</v>
      </c>
      <c r="BM59" s="62"/>
      <c r="BN59" s="62"/>
      <c r="BO59" s="62"/>
      <c r="BP59" s="62"/>
      <c r="BQ59" s="62"/>
      <c r="BR59" s="69"/>
      <c r="BS59" s="205" t="s">
        <v>94</v>
      </c>
    </row>
    <row r="60" spans="1:71" ht="72.75" customHeight="1" x14ac:dyDescent="0.35">
      <c r="A60" s="203" t="s">
        <v>16</v>
      </c>
      <c r="B60" s="354"/>
      <c r="C60" s="312"/>
      <c r="D60" s="86">
        <f t="shared" si="52"/>
        <v>2554202.3800000004</v>
      </c>
      <c r="E60" s="182">
        <f t="shared" si="53"/>
        <v>2338148.8200000003</v>
      </c>
      <c r="F60" s="233">
        <f t="shared" si="54"/>
        <v>0</v>
      </c>
      <c r="G60" s="234"/>
      <c r="H60" s="235"/>
      <c r="I60" s="235"/>
      <c r="J60" s="235"/>
      <c r="K60" s="235"/>
      <c r="L60" s="235"/>
      <c r="M60" s="235"/>
      <c r="N60" s="235"/>
      <c r="O60" s="235"/>
      <c r="P60" s="235"/>
      <c r="Q60" s="235"/>
      <c r="R60" s="236"/>
      <c r="S60" s="213">
        <f t="shared" si="50"/>
        <v>1706120.75</v>
      </c>
      <c r="T60" s="234"/>
      <c r="U60" s="235"/>
      <c r="V60" s="216"/>
      <c r="W60" s="216"/>
      <c r="X60" s="216"/>
      <c r="Y60" s="216"/>
      <c r="Z60" s="216"/>
      <c r="AA60" s="218"/>
      <c r="AB60" s="216">
        <f>1706120.75</f>
        <v>1706120.75</v>
      </c>
      <c r="AC60" s="217"/>
      <c r="AD60" s="216"/>
      <c r="AE60" s="227"/>
      <c r="AF60" s="182">
        <f t="shared" si="51"/>
        <v>0</v>
      </c>
      <c r="AG60" s="216"/>
      <c r="AH60" s="221"/>
      <c r="AI60" s="216"/>
      <c r="AJ60" s="222"/>
      <c r="AK60" s="216"/>
      <c r="AL60" s="216"/>
      <c r="AM60" s="216"/>
      <c r="AN60" s="224"/>
      <c r="AO60" s="216"/>
      <c r="AP60" s="216"/>
      <c r="AQ60" s="238"/>
      <c r="AR60" s="227"/>
      <c r="AS60" s="182">
        <f t="shared" si="58"/>
        <v>632028.07000000007</v>
      </c>
      <c r="AT60" s="79"/>
      <c r="AU60" s="62"/>
      <c r="AV60" s="62"/>
      <c r="AW60" s="62"/>
      <c r="AX60" s="193">
        <f>208129.71</f>
        <v>208129.71</v>
      </c>
      <c r="AY60" s="193"/>
      <c r="AZ60" s="193"/>
      <c r="BA60" s="193">
        <f>214983.97</f>
        <v>214983.97</v>
      </c>
      <c r="BB60" s="193"/>
      <c r="BC60" s="193"/>
      <c r="BD60" s="193">
        <f>208914.39</f>
        <v>208914.39</v>
      </c>
      <c r="BE60" s="193"/>
      <c r="BF60" s="182">
        <f t="shared" si="60"/>
        <v>216053.56</v>
      </c>
      <c r="BG60" s="79"/>
      <c r="BH60" s="62"/>
      <c r="BI60" s="193"/>
      <c r="BJ60" s="193"/>
      <c r="BK60" s="193"/>
      <c r="BL60" s="193">
        <f>216053.56</f>
        <v>216053.56</v>
      </c>
      <c r="BM60" s="62"/>
      <c r="BN60" s="62"/>
      <c r="BO60" s="62"/>
      <c r="BP60" s="62"/>
      <c r="BQ60" s="62"/>
      <c r="BR60" s="69"/>
      <c r="BS60" s="205" t="s">
        <v>96</v>
      </c>
    </row>
    <row r="61" spans="1:71" ht="74.25" customHeight="1" x14ac:dyDescent="0.35">
      <c r="A61" s="203" t="s">
        <v>23</v>
      </c>
      <c r="B61" s="354"/>
      <c r="C61" s="312"/>
      <c r="D61" s="86">
        <f t="shared" si="52"/>
        <v>1578516.68</v>
      </c>
      <c r="E61" s="182">
        <f t="shared" si="53"/>
        <v>1463151.48</v>
      </c>
      <c r="F61" s="233">
        <f t="shared" si="54"/>
        <v>0</v>
      </c>
      <c r="G61" s="234"/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6"/>
      <c r="S61" s="213">
        <f t="shared" si="50"/>
        <v>1463151.48</v>
      </c>
      <c r="T61" s="234"/>
      <c r="U61" s="235"/>
      <c r="V61" s="216"/>
      <c r="W61" s="216"/>
      <c r="X61" s="216"/>
      <c r="Y61" s="216"/>
      <c r="Z61" s="216"/>
      <c r="AA61" s="219"/>
      <c r="AB61" s="216">
        <v>1463151.48</v>
      </c>
      <c r="AC61" s="217"/>
      <c r="AD61" s="216"/>
      <c r="AE61" s="227"/>
      <c r="AF61" s="182">
        <f t="shared" si="51"/>
        <v>0</v>
      </c>
      <c r="AG61" s="216"/>
      <c r="AH61" s="221"/>
      <c r="AI61" s="216"/>
      <c r="AJ61" s="222"/>
      <c r="AK61" s="216"/>
      <c r="AL61" s="221"/>
      <c r="AM61" s="216"/>
      <c r="AN61" s="226"/>
      <c r="AO61" s="216"/>
      <c r="AP61" s="216"/>
      <c r="AQ61" s="238"/>
      <c r="AR61" s="227"/>
      <c r="AS61" s="182">
        <f t="shared" si="58"/>
        <v>0</v>
      </c>
      <c r="AT61" s="79"/>
      <c r="AU61" s="62"/>
      <c r="AV61" s="62"/>
      <c r="AW61" s="62"/>
      <c r="AX61" s="193"/>
      <c r="AY61" s="193"/>
      <c r="AZ61" s="193"/>
      <c r="BA61" s="193"/>
      <c r="BB61" s="193"/>
      <c r="BC61" s="193"/>
      <c r="BD61" s="193"/>
      <c r="BE61" s="193"/>
      <c r="BF61" s="182">
        <f t="shared" si="60"/>
        <v>115365.2</v>
      </c>
      <c r="BG61" s="79"/>
      <c r="BH61" s="62"/>
      <c r="BI61" s="193"/>
      <c r="BJ61" s="193"/>
      <c r="BK61" s="193"/>
      <c r="BL61" s="193">
        <f>115365.2</f>
        <v>115365.2</v>
      </c>
      <c r="BM61" s="62"/>
      <c r="BN61" s="62"/>
      <c r="BO61" s="62"/>
      <c r="BP61" s="62"/>
      <c r="BQ61" s="62"/>
      <c r="BR61" s="69"/>
      <c r="BS61" s="259" t="s">
        <v>95</v>
      </c>
    </row>
    <row r="62" spans="1:71" ht="69" customHeight="1" x14ac:dyDescent="0.35">
      <c r="A62" s="203" t="s">
        <v>63</v>
      </c>
      <c r="B62" s="354"/>
      <c r="C62" s="312"/>
      <c r="D62" s="86">
        <f t="shared" si="52"/>
        <v>99270</v>
      </c>
      <c r="E62" s="182">
        <f t="shared" si="53"/>
        <v>0</v>
      </c>
      <c r="F62" s="233">
        <f t="shared" si="54"/>
        <v>0</v>
      </c>
      <c r="G62" s="234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6"/>
      <c r="S62" s="213">
        <f t="shared" si="50"/>
        <v>0</v>
      </c>
      <c r="T62" s="234"/>
      <c r="U62" s="235"/>
      <c r="V62" s="216"/>
      <c r="W62" s="216"/>
      <c r="X62" s="216"/>
      <c r="Y62" s="216"/>
      <c r="Z62" s="216"/>
      <c r="AA62" s="219"/>
      <c r="AB62" s="216"/>
      <c r="AC62" s="217"/>
      <c r="AD62" s="216"/>
      <c r="AE62" s="227"/>
      <c r="AF62" s="182">
        <f t="shared" si="51"/>
        <v>0</v>
      </c>
      <c r="AG62" s="216"/>
      <c r="AH62" s="221"/>
      <c r="AI62" s="216"/>
      <c r="AJ62" s="222"/>
      <c r="AK62" s="219"/>
      <c r="AL62" s="221"/>
      <c r="AM62" s="216"/>
      <c r="AN62" s="226"/>
      <c r="AO62" s="216"/>
      <c r="AP62" s="217"/>
      <c r="AQ62" s="238"/>
      <c r="AR62" s="227"/>
      <c r="AS62" s="182">
        <f t="shared" si="58"/>
        <v>0</v>
      </c>
      <c r="AT62" s="79"/>
      <c r="AU62" s="62"/>
      <c r="AV62" s="62"/>
      <c r="AW62" s="62"/>
      <c r="AX62" s="62"/>
      <c r="AY62" s="62"/>
      <c r="AZ62" s="62"/>
      <c r="BA62" s="62"/>
      <c r="BB62" s="62"/>
      <c r="BC62" s="62"/>
      <c r="BD62" s="193"/>
      <c r="BE62" s="193"/>
      <c r="BF62" s="182">
        <f t="shared" si="60"/>
        <v>99270</v>
      </c>
      <c r="BG62" s="79"/>
      <c r="BH62" s="62"/>
      <c r="BI62" s="193"/>
      <c r="BJ62" s="193"/>
      <c r="BK62" s="193"/>
      <c r="BL62" s="193">
        <f>99270</f>
        <v>99270</v>
      </c>
      <c r="BM62" s="62"/>
      <c r="BN62" s="62"/>
      <c r="BO62" s="62"/>
      <c r="BP62" s="62"/>
      <c r="BQ62" s="62"/>
      <c r="BR62" s="69"/>
      <c r="BS62" s="259" t="s">
        <v>83</v>
      </c>
    </row>
    <row r="63" spans="1:71" ht="63.75" customHeight="1" x14ac:dyDescent="0.35">
      <c r="A63" s="203" t="s">
        <v>64</v>
      </c>
      <c r="B63" s="354"/>
      <c r="C63" s="312"/>
      <c r="D63" s="86">
        <f t="shared" si="52"/>
        <v>937500</v>
      </c>
      <c r="E63" s="182">
        <f t="shared" si="53"/>
        <v>0</v>
      </c>
      <c r="F63" s="233">
        <f t="shared" si="54"/>
        <v>0</v>
      </c>
      <c r="G63" s="234"/>
      <c r="H63" s="235"/>
      <c r="I63" s="235"/>
      <c r="J63" s="235"/>
      <c r="K63" s="235"/>
      <c r="L63" s="235"/>
      <c r="M63" s="235"/>
      <c r="N63" s="235"/>
      <c r="O63" s="235"/>
      <c r="P63" s="235"/>
      <c r="Q63" s="235"/>
      <c r="R63" s="236"/>
      <c r="S63" s="213">
        <f t="shared" si="50"/>
        <v>0</v>
      </c>
      <c r="T63" s="234"/>
      <c r="U63" s="235"/>
      <c r="V63" s="216"/>
      <c r="W63" s="216"/>
      <c r="X63" s="216"/>
      <c r="Y63" s="216"/>
      <c r="Z63" s="216"/>
      <c r="AA63" s="219"/>
      <c r="AB63" s="216"/>
      <c r="AC63" s="217"/>
      <c r="AD63" s="216"/>
      <c r="AE63" s="227"/>
      <c r="AF63" s="182">
        <f t="shared" si="51"/>
        <v>0</v>
      </c>
      <c r="AG63" s="216"/>
      <c r="AH63" s="217"/>
      <c r="AI63" s="216"/>
      <c r="AJ63" s="222"/>
      <c r="AK63" s="216"/>
      <c r="AL63" s="216"/>
      <c r="AM63" s="216"/>
      <c r="AN63" s="226"/>
      <c r="AO63" s="219"/>
      <c r="AP63" s="216"/>
      <c r="AQ63" s="238"/>
      <c r="AR63" s="227"/>
      <c r="AS63" s="182">
        <f t="shared" si="58"/>
        <v>0</v>
      </c>
      <c r="AT63" s="79"/>
      <c r="AU63" s="62"/>
      <c r="AV63" s="62"/>
      <c r="AW63" s="62"/>
      <c r="AX63" s="62"/>
      <c r="AY63" s="62"/>
      <c r="AZ63" s="62"/>
      <c r="BA63" s="193"/>
      <c r="BB63" s="62"/>
      <c r="BC63" s="62"/>
      <c r="BD63" s="62"/>
      <c r="BE63" s="80"/>
      <c r="BF63" s="182">
        <f t="shared" si="60"/>
        <v>937500</v>
      </c>
      <c r="BG63" s="79"/>
      <c r="BH63" s="62"/>
      <c r="BI63" s="193">
        <f>500000</f>
        <v>500000</v>
      </c>
      <c r="BJ63" s="193"/>
      <c r="BK63" s="193"/>
      <c r="BL63" s="193">
        <f>437500</f>
        <v>437500</v>
      </c>
      <c r="BM63" s="62"/>
      <c r="BN63" s="62"/>
      <c r="BO63" s="62"/>
      <c r="BP63" s="62"/>
      <c r="BQ63" s="62"/>
      <c r="BR63" s="69"/>
      <c r="BS63" s="259" t="s">
        <v>93</v>
      </c>
    </row>
    <row r="64" spans="1:71" ht="93.75" customHeight="1" thickBot="1" x14ac:dyDescent="0.4">
      <c r="A64" s="206" t="s">
        <v>65</v>
      </c>
      <c r="B64" s="355"/>
      <c r="C64" s="313"/>
      <c r="D64" s="183">
        <f t="shared" si="52"/>
        <v>768750</v>
      </c>
      <c r="E64" s="184">
        <f t="shared" si="53"/>
        <v>0</v>
      </c>
      <c r="F64" s="239">
        <f t="shared" si="54"/>
        <v>0</v>
      </c>
      <c r="G64" s="240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2"/>
      <c r="S64" s="243">
        <f t="shared" si="50"/>
        <v>0</v>
      </c>
      <c r="T64" s="240"/>
      <c r="U64" s="241"/>
      <c r="V64" s="244"/>
      <c r="W64" s="244"/>
      <c r="X64" s="244"/>
      <c r="Y64" s="244"/>
      <c r="Z64" s="244"/>
      <c r="AA64" s="245"/>
      <c r="AB64" s="244"/>
      <c r="AC64" s="246"/>
      <c r="AD64" s="244"/>
      <c r="AE64" s="247"/>
      <c r="AF64" s="184">
        <f t="shared" si="51"/>
        <v>0</v>
      </c>
      <c r="AG64" s="245"/>
      <c r="AH64" s="248"/>
      <c r="AI64" s="245"/>
      <c r="AJ64" s="249"/>
      <c r="AK64" s="245"/>
      <c r="AL64" s="245"/>
      <c r="AM64" s="245"/>
      <c r="AN64" s="249"/>
      <c r="AO64" s="244"/>
      <c r="AP64" s="245"/>
      <c r="AQ64" s="250"/>
      <c r="AR64" s="251"/>
      <c r="AS64" s="184">
        <f t="shared" si="58"/>
        <v>0</v>
      </c>
      <c r="AT64" s="156"/>
      <c r="AU64" s="155"/>
      <c r="AV64" s="155"/>
      <c r="AW64" s="155"/>
      <c r="AX64" s="155"/>
      <c r="AY64" s="155"/>
      <c r="AZ64" s="155"/>
      <c r="BA64" s="274"/>
      <c r="BB64" s="155"/>
      <c r="BC64" s="155"/>
      <c r="BD64" s="274"/>
      <c r="BE64" s="274"/>
      <c r="BF64" s="184">
        <f t="shared" si="60"/>
        <v>768750</v>
      </c>
      <c r="BG64" s="156"/>
      <c r="BH64" s="155"/>
      <c r="BI64" s="202">
        <f>410000</f>
        <v>410000</v>
      </c>
      <c r="BJ64" s="202"/>
      <c r="BK64" s="202"/>
      <c r="BL64" s="202">
        <f>358750</f>
        <v>358750</v>
      </c>
      <c r="BM64" s="155"/>
      <c r="BN64" s="155"/>
      <c r="BO64" s="155"/>
      <c r="BP64" s="155"/>
      <c r="BQ64" s="155"/>
      <c r="BR64" s="160"/>
      <c r="BS64" s="261" t="s">
        <v>93</v>
      </c>
    </row>
    <row r="65" spans="1:71" ht="5.25" customHeight="1" thickTop="1" x14ac:dyDescent="0.35">
      <c r="A65" s="185"/>
      <c r="B65" s="185"/>
      <c r="C65" s="185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</row>
    <row r="66" spans="1:71" ht="5.25" customHeight="1" x14ac:dyDescent="0.35">
      <c r="A66" s="185"/>
      <c r="B66" s="185"/>
      <c r="C66" s="185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5"/>
      <c r="X66" s="185"/>
      <c r="Y66" s="185"/>
      <c r="Z66" s="185"/>
      <c r="AA66" s="185"/>
    </row>
    <row r="67" spans="1:71" ht="4.5" customHeight="1" x14ac:dyDescent="0.35"/>
    <row r="68" spans="1:71" ht="6" customHeight="1" x14ac:dyDescent="0.35">
      <c r="A68" s="363"/>
      <c r="B68" s="363"/>
      <c r="C68" s="363"/>
      <c r="D68" s="363"/>
      <c r="E68" s="363"/>
      <c r="F68" s="363"/>
      <c r="G68" s="363"/>
      <c r="H68" s="363"/>
      <c r="I68" s="363"/>
      <c r="J68" s="363"/>
      <c r="K68" s="363"/>
      <c r="L68" s="363"/>
      <c r="M68" s="363"/>
      <c r="N68" s="363"/>
      <c r="O68" s="363"/>
      <c r="P68" s="363"/>
      <c r="Q68" s="363"/>
      <c r="R68" s="363"/>
      <c r="S68" s="363"/>
      <c r="T68" s="363"/>
      <c r="U68" s="363"/>
      <c r="V68" s="363"/>
      <c r="W68" s="363"/>
      <c r="X68" s="363"/>
      <c r="Y68" s="363"/>
      <c r="Z68" s="363"/>
      <c r="AA68" s="363"/>
      <c r="AB68" s="363"/>
      <c r="AC68" s="363"/>
      <c r="AD68" s="363"/>
      <c r="AE68" s="363"/>
      <c r="AF68" s="363"/>
      <c r="AG68" s="363"/>
      <c r="AH68" s="363"/>
      <c r="AI68" s="363"/>
      <c r="AJ68" s="363"/>
      <c r="AK68" s="363"/>
      <c r="AL68" s="363"/>
      <c r="AM68" s="363"/>
      <c r="AN68" s="363"/>
      <c r="AO68" s="363"/>
      <c r="AP68" s="363"/>
      <c r="AQ68" s="363"/>
      <c r="AR68" s="363"/>
      <c r="AS68" s="363"/>
      <c r="AT68" s="363"/>
      <c r="AU68" s="363"/>
      <c r="AV68" s="363"/>
      <c r="AW68" s="363"/>
      <c r="AX68" s="363"/>
      <c r="AY68" s="363"/>
      <c r="AZ68" s="363"/>
      <c r="BA68" s="363"/>
      <c r="BB68" s="363"/>
      <c r="BC68" s="363"/>
      <c r="BD68" s="363"/>
      <c r="BE68" s="363"/>
      <c r="BF68" s="363"/>
      <c r="BG68" s="363"/>
      <c r="BH68" s="363"/>
      <c r="BI68" s="363"/>
      <c r="BJ68" s="363"/>
      <c r="BK68" s="363"/>
      <c r="BL68" s="363"/>
      <c r="BM68" s="363"/>
      <c r="BN68" s="363"/>
      <c r="BO68" s="363"/>
      <c r="BP68" s="363"/>
      <c r="BQ68" s="363"/>
      <c r="BR68" s="363"/>
      <c r="BS68" s="363"/>
    </row>
    <row r="69" spans="1:71" ht="5.25" customHeight="1" x14ac:dyDescent="0.35">
      <c r="A69" s="186"/>
      <c r="B69" s="186"/>
      <c r="C69" s="186"/>
      <c r="D69" s="186"/>
      <c r="E69" s="186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6"/>
      <c r="X69" s="186"/>
      <c r="Y69" s="186"/>
      <c r="Z69" s="186"/>
      <c r="AA69" s="186"/>
      <c r="AB69" s="186"/>
      <c r="AC69" s="186"/>
      <c r="AD69" s="186"/>
      <c r="AE69" s="186"/>
      <c r="AF69" s="186"/>
      <c r="AG69" s="186"/>
      <c r="AH69" s="186"/>
      <c r="AI69" s="186"/>
      <c r="AJ69" s="186"/>
      <c r="AK69" s="186"/>
      <c r="AL69" s="186"/>
      <c r="AM69" s="186"/>
      <c r="AN69" s="186"/>
      <c r="AO69" s="186"/>
      <c r="AP69" s="186"/>
      <c r="AQ69" s="186"/>
      <c r="AR69" s="186"/>
      <c r="AS69" s="186"/>
      <c r="AT69" s="186"/>
      <c r="AU69" s="186"/>
      <c r="AV69" s="186"/>
      <c r="AW69" s="186"/>
      <c r="AX69" s="186"/>
      <c r="AY69" s="186"/>
      <c r="AZ69" s="186"/>
      <c r="BA69" s="186"/>
      <c r="BB69" s="186"/>
      <c r="BC69" s="186"/>
      <c r="BD69" s="186"/>
      <c r="BE69" s="186"/>
    </row>
    <row r="70" spans="1:71" ht="59.25" customHeight="1" x14ac:dyDescent="0.35">
      <c r="A70" s="360" t="s">
        <v>79</v>
      </c>
      <c r="B70" s="360"/>
      <c r="C70" s="360"/>
      <c r="D70" s="360"/>
      <c r="E70" s="360"/>
      <c r="F70" s="360"/>
      <c r="G70" s="360"/>
      <c r="H70" s="360"/>
      <c r="I70" s="360"/>
      <c r="J70" s="360"/>
      <c r="K70" s="360"/>
      <c r="L70" s="360"/>
      <c r="M70" s="360"/>
      <c r="N70" s="360"/>
      <c r="O70" s="360"/>
      <c r="P70" s="360"/>
      <c r="Q70" s="360"/>
      <c r="R70" s="360"/>
      <c r="S70" s="360"/>
      <c r="T70" s="360"/>
      <c r="U70" s="360"/>
      <c r="V70" s="360"/>
      <c r="W70" s="360"/>
      <c r="X70" s="360"/>
      <c r="Y70" s="360"/>
      <c r="Z70" s="360"/>
      <c r="AA70" s="360"/>
      <c r="AB70" s="360"/>
      <c r="AC70" s="360"/>
      <c r="AD70" s="360"/>
      <c r="AE70" s="360"/>
      <c r="AF70" s="360"/>
      <c r="AG70" s="360"/>
      <c r="AH70" s="360"/>
      <c r="AI70" s="360"/>
      <c r="AJ70" s="360"/>
      <c r="AK70" s="360"/>
      <c r="AL70" s="360"/>
      <c r="AM70" s="360"/>
      <c r="AN70" s="360"/>
      <c r="AO70" s="360"/>
      <c r="AP70" s="360"/>
      <c r="AQ70" s="360"/>
      <c r="AR70" s="360"/>
      <c r="AS70" s="360"/>
      <c r="AT70" s="360"/>
      <c r="AU70" s="360"/>
      <c r="AV70" s="360"/>
      <c r="AW70" s="360"/>
      <c r="AX70" s="360"/>
      <c r="AY70" s="360"/>
      <c r="AZ70" s="360"/>
      <c r="BA70" s="360"/>
      <c r="BB70" s="360"/>
      <c r="BC70" s="360"/>
      <c r="BD70" s="360"/>
      <c r="BE70" s="360"/>
      <c r="BF70" s="360"/>
      <c r="BG70" s="189"/>
      <c r="BH70" s="189"/>
      <c r="BI70" s="189"/>
      <c r="BJ70" s="189"/>
      <c r="BK70" s="189"/>
      <c r="BL70" s="189"/>
      <c r="BM70" s="189"/>
      <c r="BN70" s="189"/>
      <c r="BO70" s="189"/>
      <c r="BP70" s="189"/>
      <c r="BQ70" s="189"/>
      <c r="BR70" s="189"/>
      <c r="BS70" s="189"/>
    </row>
    <row r="71" spans="1:71" ht="4.5" customHeight="1" x14ac:dyDescent="0.35">
      <c r="A71" s="275"/>
      <c r="B71" s="275"/>
      <c r="C71" s="275"/>
      <c r="D71" s="275"/>
      <c r="E71" s="275"/>
      <c r="F71" s="275"/>
      <c r="G71" s="275"/>
      <c r="H71" s="275"/>
      <c r="I71" s="275"/>
      <c r="J71" s="275"/>
      <c r="K71" s="275"/>
      <c r="L71" s="275"/>
      <c r="M71" s="275"/>
      <c r="N71" s="275"/>
      <c r="O71" s="275"/>
      <c r="P71" s="275"/>
      <c r="Q71" s="275"/>
      <c r="R71" s="275"/>
      <c r="S71" s="275"/>
      <c r="T71" s="275"/>
      <c r="U71" s="275"/>
      <c r="V71" s="275"/>
      <c r="W71" s="275"/>
      <c r="X71" s="275"/>
      <c r="Y71" s="276"/>
      <c r="Z71" s="276"/>
      <c r="AA71" s="276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</row>
    <row r="72" spans="1:71" ht="3.75" customHeight="1" x14ac:dyDescent="0.35">
      <c r="A72" s="275"/>
      <c r="B72" s="275"/>
      <c r="C72" s="275"/>
      <c r="D72" s="275"/>
      <c r="E72" s="275"/>
      <c r="F72" s="275"/>
      <c r="G72" s="275"/>
      <c r="H72" s="275"/>
      <c r="I72" s="275"/>
      <c r="J72" s="275"/>
      <c r="K72" s="275"/>
      <c r="L72" s="275"/>
      <c r="M72" s="275"/>
      <c r="N72" s="275"/>
      <c r="O72" s="275"/>
      <c r="P72" s="275"/>
      <c r="Q72" s="275"/>
      <c r="R72" s="275"/>
      <c r="S72" s="275"/>
      <c r="T72" s="275"/>
      <c r="U72" s="275"/>
      <c r="V72" s="275"/>
      <c r="W72" s="275"/>
      <c r="X72" s="275"/>
      <c r="Y72" s="276"/>
      <c r="Z72" s="276"/>
      <c r="AA72" s="276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</row>
    <row r="73" spans="1:71" ht="36.75" hidden="1" customHeight="1" x14ac:dyDescent="0.35">
      <c r="A73" s="275"/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  <c r="M73" s="275"/>
      <c r="N73" s="275"/>
      <c r="O73" s="275"/>
      <c r="P73" s="275"/>
      <c r="Q73" s="275"/>
      <c r="R73" s="275"/>
      <c r="S73" s="275"/>
      <c r="T73" s="275"/>
      <c r="U73" s="275"/>
      <c r="V73" s="275"/>
      <c r="W73" s="275"/>
      <c r="X73" s="275"/>
      <c r="Y73" s="275"/>
      <c r="Z73" s="275"/>
      <c r="AA73" s="275"/>
      <c r="AB73" s="275"/>
      <c r="AC73" s="275"/>
      <c r="AD73" s="275"/>
      <c r="AE73" s="275"/>
      <c r="AF73" s="275"/>
      <c r="AG73" s="275"/>
      <c r="AH73" s="275"/>
      <c r="AI73" s="275"/>
      <c r="AJ73" s="275"/>
      <c r="AK73" s="275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</row>
    <row r="74" spans="1:71" ht="48.75" hidden="1" customHeight="1" x14ac:dyDescent="0.35">
      <c r="A74" s="275"/>
      <c r="B74" s="275"/>
      <c r="C74" s="275"/>
      <c r="D74" s="275"/>
      <c r="E74" s="275"/>
      <c r="F74" s="275"/>
      <c r="G74" s="275"/>
      <c r="H74" s="275"/>
      <c r="I74" s="275"/>
      <c r="J74" s="275"/>
      <c r="K74" s="275"/>
      <c r="L74" s="275"/>
      <c r="M74" s="275"/>
      <c r="N74" s="275"/>
      <c r="O74" s="275"/>
      <c r="P74" s="275"/>
      <c r="Q74" s="275"/>
      <c r="R74" s="275"/>
      <c r="S74" s="275"/>
      <c r="T74" s="275"/>
      <c r="U74" s="275"/>
      <c r="V74" s="275"/>
      <c r="W74" s="275"/>
      <c r="X74" s="275"/>
      <c r="Y74" s="275"/>
      <c r="Z74" s="275"/>
      <c r="AA74" s="275"/>
      <c r="AB74" s="275"/>
      <c r="AC74" s="275"/>
      <c r="AD74" s="275"/>
      <c r="AE74" s="275"/>
      <c r="AF74" s="275"/>
      <c r="AG74" s="275"/>
      <c r="AH74" s="275"/>
      <c r="AI74" s="275"/>
      <c r="AJ74" s="275"/>
      <c r="AK74" s="275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</row>
    <row r="75" spans="1:71" ht="1.5" customHeight="1" x14ac:dyDescent="0.35">
      <c r="A75" s="189"/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</row>
    <row r="76" spans="1:71" s="187" customFormat="1" ht="5.25" customHeight="1" x14ac:dyDescent="0.45">
      <c r="A76" s="277"/>
      <c r="B76" s="277"/>
      <c r="C76" s="277"/>
      <c r="D76" s="277"/>
      <c r="E76" s="277"/>
      <c r="F76" s="277"/>
      <c r="G76" s="277"/>
      <c r="H76" s="277"/>
      <c r="I76" s="277"/>
      <c r="J76" s="277"/>
      <c r="K76" s="277"/>
      <c r="L76" s="277"/>
      <c r="M76" s="277"/>
      <c r="N76" s="277"/>
      <c r="O76" s="277"/>
      <c r="P76" s="277"/>
      <c r="Q76" s="277"/>
      <c r="R76" s="277"/>
      <c r="S76" s="277"/>
      <c r="T76" s="277"/>
      <c r="U76" s="277"/>
      <c r="V76" s="277"/>
      <c r="W76" s="277"/>
      <c r="X76" s="277"/>
      <c r="Y76" s="277"/>
      <c r="Z76" s="277"/>
      <c r="AA76" s="277"/>
      <c r="AB76" s="277"/>
      <c r="AC76" s="277"/>
      <c r="AD76" s="277"/>
      <c r="AE76" s="277"/>
      <c r="AF76" s="277"/>
      <c r="AG76" s="277"/>
      <c r="AH76" s="277"/>
      <c r="AI76" s="277"/>
      <c r="AJ76" s="277"/>
      <c r="AK76" s="277"/>
      <c r="AL76" s="277"/>
      <c r="AM76" s="277"/>
      <c r="AN76" s="277"/>
      <c r="AO76" s="277"/>
      <c r="AP76" s="277"/>
      <c r="AQ76" s="277"/>
      <c r="AR76" s="277"/>
      <c r="AS76" s="277"/>
      <c r="AT76" s="277"/>
      <c r="AU76" s="277"/>
      <c r="AV76" s="277"/>
      <c r="AW76" s="277"/>
      <c r="AX76" s="277"/>
      <c r="AY76" s="277"/>
      <c r="AZ76" s="277"/>
      <c r="BA76" s="277"/>
      <c r="BB76" s="277"/>
      <c r="BC76" s="277"/>
      <c r="BD76" s="277"/>
      <c r="BE76" s="277"/>
      <c r="BF76" s="277"/>
      <c r="BG76" s="277"/>
      <c r="BH76" s="277"/>
      <c r="BI76" s="277"/>
      <c r="BJ76" s="277"/>
      <c r="BK76" s="277"/>
      <c r="BL76" s="277"/>
      <c r="BM76" s="277"/>
      <c r="BN76" s="277"/>
      <c r="BO76" s="277"/>
      <c r="BP76" s="277"/>
      <c r="BQ76" s="277"/>
      <c r="BR76" s="277"/>
      <c r="BS76" s="277"/>
    </row>
    <row r="77" spans="1:71" s="187" customFormat="1" ht="57.75" customHeight="1" x14ac:dyDescent="0.45">
      <c r="A77" s="278"/>
      <c r="B77" s="278"/>
      <c r="C77" s="278"/>
      <c r="D77" s="278"/>
      <c r="E77" s="278"/>
      <c r="F77" s="278"/>
      <c r="G77" s="278"/>
      <c r="H77" s="278"/>
      <c r="I77" s="278"/>
      <c r="J77" s="278"/>
      <c r="K77" s="278"/>
      <c r="L77" s="278"/>
      <c r="M77" s="278"/>
      <c r="N77" s="278"/>
      <c r="O77" s="278"/>
      <c r="P77" s="278"/>
      <c r="Q77" s="278"/>
      <c r="R77" s="278"/>
      <c r="S77" s="278"/>
      <c r="T77" s="278"/>
      <c r="U77" s="278"/>
      <c r="V77" s="278"/>
      <c r="W77" s="278"/>
      <c r="X77" s="278"/>
      <c r="Y77" s="278"/>
      <c r="Z77" s="278"/>
      <c r="AA77" s="278"/>
      <c r="AB77" s="278"/>
      <c r="AC77" s="278"/>
      <c r="AD77" s="278"/>
      <c r="AE77" s="278"/>
      <c r="AF77" s="278"/>
      <c r="AG77" s="278"/>
      <c r="AH77" s="278"/>
      <c r="AI77" s="278"/>
      <c r="AJ77" s="278"/>
      <c r="AK77" s="278"/>
      <c r="AL77" s="277"/>
      <c r="AM77" s="277"/>
      <c r="AN77" s="277"/>
      <c r="AO77" s="277"/>
      <c r="AP77" s="277"/>
      <c r="AQ77" s="277"/>
      <c r="AR77" s="277"/>
      <c r="AS77" s="277"/>
      <c r="AT77" s="277"/>
      <c r="AU77" s="277"/>
      <c r="AV77" s="277"/>
      <c r="AW77" s="277"/>
      <c r="AX77" s="277"/>
      <c r="AY77" s="277"/>
      <c r="AZ77" s="277"/>
      <c r="BA77" s="277"/>
      <c r="BB77" s="277"/>
      <c r="BC77" s="277"/>
      <c r="BD77" s="277"/>
      <c r="BE77" s="277"/>
      <c r="BF77" s="277"/>
      <c r="BG77" s="277"/>
      <c r="BH77" s="277"/>
      <c r="BI77" s="277"/>
      <c r="BJ77" s="277"/>
      <c r="BK77" s="277"/>
      <c r="BL77" s="277"/>
      <c r="BM77" s="277"/>
      <c r="BN77" s="277"/>
      <c r="BO77" s="277"/>
      <c r="BP77" s="277"/>
      <c r="BQ77" s="277"/>
      <c r="BR77" s="277"/>
      <c r="BS77" s="277"/>
    </row>
    <row r="78" spans="1:71" ht="3" hidden="1" customHeight="1" x14ac:dyDescent="0.35">
      <c r="A78" s="278"/>
      <c r="B78" s="278"/>
      <c r="C78" s="278"/>
      <c r="D78" s="278"/>
      <c r="E78" s="278"/>
      <c r="F78" s="278"/>
      <c r="G78" s="278"/>
      <c r="H78" s="278"/>
      <c r="I78" s="278"/>
      <c r="J78" s="278"/>
      <c r="K78" s="278"/>
      <c r="L78" s="278"/>
      <c r="M78" s="278"/>
      <c r="N78" s="278"/>
      <c r="O78" s="278"/>
      <c r="P78" s="278"/>
      <c r="Q78" s="278"/>
      <c r="R78" s="278"/>
      <c r="S78" s="278"/>
      <c r="T78" s="278"/>
      <c r="U78" s="278"/>
      <c r="V78" s="278"/>
      <c r="W78" s="278"/>
      <c r="X78" s="278"/>
      <c r="Y78" s="278"/>
      <c r="Z78" s="278"/>
      <c r="AA78" s="278"/>
      <c r="AB78" s="278"/>
      <c r="AC78" s="278"/>
      <c r="AD78" s="278"/>
      <c r="AE78" s="278"/>
      <c r="AF78" s="278"/>
      <c r="AG78" s="278"/>
      <c r="AH78" s="278"/>
      <c r="AI78" s="278"/>
      <c r="AJ78" s="278"/>
      <c r="AK78" s="278"/>
      <c r="AL78" s="278"/>
      <c r="AM78" s="278"/>
      <c r="AN78" s="278"/>
      <c r="AO78" s="278"/>
      <c r="AP78" s="278"/>
      <c r="AQ78" s="278"/>
      <c r="AR78" s="278"/>
      <c r="AS78" s="278"/>
      <c r="AT78" s="278"/>
      <c r="AU78" s="278"/>
      <c r="AV78" s="278"/>
      <c r="AW78" s="278"/>
      <c r="AX78" s="278"/>
      <c r="AY78" s="278"/>
      <c r="AZ78" s="278"/>
      <c r="BA78" s="278"/>
      <c r="BB78" s="278"/>
      <c r="BC78" s="278"/>
      <c r="BD78" s="278"/>
      <c r="BE78" s="278"/>
      <c r="BF78" s="278"/>
      <c r="BG78" s="278"/>
      <c r="BH78" s="278"/>
      <c r="BI78" s="278"/>
      <c r="BJ78" s="278"/>
      <c r="BK78" s="278"/>
      <c r="BL78" s="278"/>
      <c r="BM78" s="278"/>
      <c r="BN78" s="278"/>
      <c r="BO78" s="278"/>
      <c r="BP78" s="278"/>
      <c r="BQ78" s="278"/>
      <c r="BR78" s="189"/>
      <c r="BS78" s="189"/>
    </row>
    <row r="79" spans="1:71" ht="1.5" hidden="1" customHeight="1" x14ac:dyDescent="0.35">
      <c r="A79" s="360"/>
      <c r="B79" s="360"/>
      <c r="C79" s="360"/>
      <c r="D79" s="360"/>
      <c r="E79" s="360"/>
      <c r="F79" s="360"/>
      <c r="G79" s="360"/>
      <c r="H79" s="360"/>
      <c r="I79" s="360"/>
      <c r="J79" s="360"/>
      <c r="K79" s="360"/>
      <c r="L79" s="360"/>
      <c r="M79" s="360"/>
      <c r="N79" s="360"/>
      <c r="O79" s="360"/>
      <c r="P79" s="360"/>
      <c r="Q79" s="360"/>
      <c r="R79" s="360"/>
      <c r="S79" s="360"/>
      <c r="T79" s="360"/>
      <c r="U79" s="360"/>
      <c r="V79" s="360"/>
      <c r="W79" s="360"/>
      <c r="X79" s="360"/>
      <c r="Y79" s="360"/>
      <c r="Z79" s="360"/>
      <c r="AA79" s="360"/>
      <c r="AB79" s="360"/>
      <c r="AC79" s="360"/>
      <c r="AD79" s="360"/>
      <c r="AE79" s="360"/>
      <c r="AF79" s="360"/>
      <c r="AG79" s="360"/>
      <c r="AH79" s="360"/>
      <c r="AI79" s="360"/>
      <c r="AJ79" s="360"/>
      <c r="AK79" s="360"/>
      <c r="AL79" s="360"/>
      <c r="AM79" s="360"/>
      <c r="AN79" s="360"/>
      <c r="AO79" s="360"/>
      <c r="AP79" s="360"/>
      <c r="AQ79" s="360"/>
      <c r="AR79" s="360"/>
      <c r="AS79" s="360"/>
      <c r="AT79" s="360"/>
      <c r="AU79" s="360"/>
      <c r="AV79" s="360"/>
      <c r="AW79" s="360"/>
      <c r="AX79" s="360"/>
      <c r="AY79" s="360"/>
      <c r="AZ79" s="360"/>
      <c r="BA79" s="360"/>
      <c r="BB79" s="360"/>
      <c r="BC79" s="360"/>
      <c r="BD79" s="360"/>
      <c r="BE79" s="360"/>
      <c r="BF79" s="360"/>
      <c r="BG79" s="360"/>
      <c r="BH79" s="360"/>
      <c r="BI79" s="360"/>
      <c r="BJ79" s="360"/>
      <c r="BK79" s="360"/>
      <c r="BL79" s="360"/>
      <c r="BM79" s="360"/>
      <c r="BN79" s="360"/>
      <c r="BO79" s="360"/>
      <c r="BP79" s="360"/>
      <c r="BQ79" s="360"/>
      <c r="BR79" s="360"/>
      <c r="BS79" s="360"/>
    </row>
    <row r="80" spans="1:71" ht="28.5" customHeight="1" x14ac:dyDescent="0.35">
      <c r="A80" s="188" t="s">
        <v>114</v>
      </c>
      <c r="B80" s="284"/>
      <c r="C80" s="285" t="s">
        <v>66</v>
      </c>
      <c r="D80" s="284"/>
      <c r="E80" s="284"/>
      <c r="F80" s="284"/>
      <c r="G80" s="285"/>
      <c r="H80" s="285"/>
      <c r="I80" s="285"/>
      <c r="J80" s="285"/>
      <c r="K80" s="285"/>
      <c r="L80" s="285"/>
      <c r="M80" s="285"/>
      <c r="N80" s="285"/>
      <c r="O80" s="285"/>
      <c r="P80" s="285"/>
      <c r="Q80" s="285"/>
      <c r="R80" s="285"/>
      <c r="S80" s="285"/>
      <c r="T80" s="285"/>
      <c r="U80" s="285"/>
      <c r="V80" s="285"/>
      <c r="W80" s="285"/>
      <c r="X80" s="285"/>
      <c r="Y80" s="285"/>
      <c r="Z80" s="285"/>
      <c r="AA80" s="285"/>
      <c r="AB80" s="285"/>
      <c r="AC80" s="285"/>
      <c r="AD80" s="285"/>
      <c r="AE80" s="285"/>
      <c r="AF80" s="285"/>
      <c r="AG80" s="285"/>
      <c r="AH80" s="285"/>
      <c r="AI80" s="285"/>
      <c r="AJ80" s="285"/>
      <c r="AK80" s="285"/>
      <c r="AL80" s="285"/>
      <c r="AM80" s="285"/>
      <c r="AN80" s="285"/>
      <c r="AO80" s="285"/>
      <c r="AP80" s="285"/>
      <c r="AQ80" s="285"/>
      <c r="AR80" s="285"/>
      <c r="AS80" s="285"/>
      <c r="AT80" s="285"/>
      <c r="AU80" s="285"/>
      <c r="AV80" s="285" t="s">
        <v>66</v>
      </c>
      <c r="AW80" s="285"/>
      <c r="AX80" s="285"/>
      <c r="AY80" s="285"/>
      <c r="AZ80" s="285"/>
      <c r="BA80" s="285"/>
      <c r="BB80" s="285"/>
      <c r="BC80" s="285"/>
      <c r="BD80" s="285"/>
      <c r="BE80" s="285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</row>
    <row r="81" spans="1:71" ht="26.25" customHeight="1" x14ac:dyDescent="0.35">
      <c r="A81" s="285" t="s">
        <v>67</v>
      </c>
      <c r="B81" s="285"/>
      <c r="C81" s="285"/>
      <c r="D81" s="285"/>
      <c r="E81" s="285"/>
      <c r="F81" s="279"/>
      <c r="G81" s="276"/>
      <c r="H81" s="276"/>
      <c r="I81" s="276"/>
      <c r="J81" s="276"/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276"/>
      <c r="Z81" s="276"/>
      <c r="AA81" s="276"/>
      <c r="AB81" s="189"/>
      <c r="AC81" s="189"/>
      <c r="AD81" s="189"/>
      <c r="AE81" s="189"/>
      <c r="AF81" s="189"/>
      <c r="AG81" s="284"/>
      <c r="AH81" s="284"/>
      <c r="AI81" s="284"/>
      <c r="AJ81" s="361" t="s">
        <v>68</v>
      </c>
      <c r="AK81" s="361"/>
      <c r="AL81" s="361"/>
      <c r="AM81" s="361"/>
      <c r="AN81" s="361"/>
      <c r="AO81" s="189"/>
      <c r="AP81" s="189"/>
      <c r="AQ81" s="189"/>
      <c r="AR81" s="189"/>
      <c r="AS81" s="189"/>
      <c r="AT81" s="189"/>
      <c r="AU81" s="189"/>
      <c r="AV81" s="189"/>
      <c r="AW81" s="284"/>
      <c r="AX81" s="285" t="s">
        <v>69</v>
      </c>
      <c r="AY81" s="284"/>
      <c r="AZ81" s="285"/>
      <c r="BA81" s="285"/>
      <c r="BB81" s="285"/>
      <c r="BC81" s="285"/>
      <c r="BD81" s="285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</row>
    <row r="82" spans="1:71" ht="24.75" customHeight="1" x14ac:dyDescent="0.35">
      <c r="A82" s="189" t="s">
        <v>70</v>
      </c>
      <c r="B82" s="275"/>
      <c r="C82" s="275"/>
      <c r="D82" s="280"/>
      <c r="E82" s="189"/>
      <c r="F82" s="280"/>
      <c r="G82" s="276"/>
      <c r="H82" s="276"/>
      <c r="I82" s="276"/>
      <c r="J82" s="276"/>
      <c r="K82" s="276"/>
      <c r="L82" s="276"/>
      <c r="M82" s="276"/>
      <c r="N82" s="276"/>
      <c r="O82" s="276"/>
      <c r="P82" s="276"/>
      <c r="Q82" s="276"/>
      <c r="R82" s="276"/>
      <c r="S82" s="276"/>
      <c r="T82" s="276"/>
      <c r="U82" s="276"/>
      <c r="V82" s="276"/>
      <c r="W82" s="276"/>
      <c r="X82" s="276"/>
      <c r="Y82" s="276"/>
      <c r="Z82" s="276"/>
      <c r="AA82" s="276"/>
      <c r="AB82" s="189"/>
      <c r="AC82" s="189"/>
      <c r="AD82" s="189"/>
      <c r="AE82" s="189"/>
      <c r="AF82" s="279"/>
      <c r="AG82" s="279"/>
      <c r="AH82" s="285" t="s">
        <v>68</v>
      </c>
      <c r="AI82" s="279"/>
      <c r="AJ82" s="362" t="s">
        <v>71</v>
      </c>
      <c r="AK82" s="362"/>
      <c r="AL82" s="362"/>
      <c r="AM82" s="362"/>
      <c r="AN82" s="362"/>
      <c r="AO82" s="189"/>
      <c r="AP82" s="189"/>
      <c r="AQ82" s="189"/>
      <c r="AR82" s="189"/>
      <c r="AS82" s="189"/>
      <c r="AT82" s="189"/>
      <c r="AU82" s="189"/>
      <c r="AV82" s="279"/>
      <c r="AW82" s="279"/>
      <c r="AX82" s="189" t="s">
        <v>72</v>
      </c>
      <c r="AY82" s="27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</row>
    <row r="83" spans="1:71" ht="25.5" customHeight="1" x14ac:dyDescent="0.4">
      <c r="A83" s="188" t="s">
        <v>73</v>
      </c>
      <c r="B83" s="275"/>
      <c r="C83" s="275"/>
      <c r="D83" s="281"/>
      <c r="E83" s="188"/>
      <c r="F83" s="281"/>
      <c r="G83" s="276"/>
      <c r="H83" s="276"/>
      <c r="I83" s="276"/>
      <c r="J83" s="276"/>
      <c r="K83" s="276"/>
      <c r="L83" s="276"/>
      <c r="M83" s="276"/>
      <c r="N83" s="276"/>
      <c r="O83" s="276"/>
      <c r="P83" s="276"/>
      <c r="Q83" s="276"/>
      <c r="R83" s="276"/>
      <c r="S83" s="276"/>
      <c r="T83" s="276"/>
      <c r="U83" s="276"/>
      <c r="V83" s="276"/>
      <c r="W83" s="276"/>
      <c r="X83" s="276"/>
      <c r="Y83" s="276"/>
      <c r="Z83" s="276"/>
      <c r="AA83" s="276"/>
      <c r="AB83" s="189"/>
      <c r="AC83" s="189"/>
      <c r="AD83" s="189"/>
      <c r="AE83" s="189"/>
      <c r="AF83" s="275"/>
      <c r="AG83" s="280"/>
      <c r="AH83" s="189" t="s">
        <v>74</v>
      </c>
      <c r="AI83" s="280"/>
      <c r="AJ83" s="361" t="s">
        <v>75</v>
      </c>
      <c r="AK83" s="361"/>
      <c r="AL83" s="361"/>
      <c r="AM83" s="361"/>
      <c r="AN83" s="361"/>
      <c r="AO83" s="189"/>
      <c r="AP83" s="189"/>
      <c r="AQ83" s="189"/>
      <c r="AR83" s="189"/>
      <c r="AS83" s="189"/>
      <c r="AT83" s="189"/>
      <c r="AU83" s="189"/>
      <c r="AV83" s="275"/>
      <c r="AW83" s="280"/>
      <c r="AX83" s="359" t="s">
        <v>76</v>
      </c>
      <c r="AY83" s="359"/>
      <c r="AZ83" s="359"/>
      <c r="BA83" s="359"/>
      <c r="BB83" s="359"/>
      <c r="BC83" s="359"/>
      <c r="BD83" s="359"/>
      <c r="BE83" s="35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</row>
    <row r="84" spans="1:71" ht="26.25" hidden="1" customHeight="1" x14ac:dyDescent="0.4">
      <c r="A84" s="358"/>
      <c r="B84" s="358"/>
      <c r="C84" s="358"/>
      <c r="D84" s="281"/>
      <c r="E84" s="281"/>
      <c r="F84" s="281"/>
      <c r="G84" s="276"/>
      <c r="H84" s="276"/>
      <c r="I84" s="276"/>
      <c r="J84" s="276"/>
      <c r="K84" s="276"/>
      <c r="L84" s="276"/>
      <c r="M84" s="276"/>
      <c r="N84" s="276"/>
      <c r="O84" s="276"/>
      <c r="P84" s="276"/>
      <c r="Q84" s="276"/>
      <c r="R84" s="276"/>
      <c r="S84" s="276"/>
      <c r="T84" s="276"/>
      <c r="U84" s="276"/>
      <c r="V84" s="276"/>
      <c r="W84" s="276"/>
      <c r="X84" s="276"/>
      <c r="Y84" s="276"/>
      <c r="Z84" s="276"/>
      <c r="AA84" s="276"/>
      <c r="AB84" s="189"/>
      <c r="AC84" s="189"/>
      <c r="AD84" s="189"/>
      <c r="AE84" s="189"/>
      <c r="AF84" s="275"/>
      <c r="AG84" s="281"/>
      <c r="AH84" s="188"/>
      <c r="AI84" s="281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359"/>
      <c r="AY84" s="359"/>
      <c r="AZ84" s="359"/>
      <c r="BA84" s="359"/>
      <c r="BB84" s="359"/>
      <c r="BC84" s="359"/>
      <c r="BD84" s="359"/>
      <c r="BE84" s="35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</row>
    <row r="85" spans="1:71" ht="27" hidden="1" x14ac:dyDescent="0.35">
      <c r="A85" s="360" t="s">
        <v>77</v>
      </c>
      <c r="B85" s="360"/>
      <c r="C85" s="360"/>
      <c r="D85" s="276"/>
      <c r="E85" s="276"/>
      <c r="F85" s="276"/>
      <c r="G85" s="276"/>
      <c r="H85" s="276"/>
      <c r="I85" s="276"/>
      <c r="J85" s="276"/>
      <c r="K85" s="276"/>
      <c r="L85" s="276"/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  <c r="AY85" s="189"/>
      <c r="AZ85" s="189"/>
      <c r="BA85" s="189"/>
      <c r="BB85" s="189"/>
      <c r="BC85" s="189"/>
      <c r="BD85" s="189"/>
      <c r="BE85" s="189"/>
      <c r="BF85" s="189"/>
      <c r="BG85" s="189"/>
      <c r="BH85" s="189"/>
      <c r="BI85" s="189"/>
      <c r="BJ85" s="189"/>
      <c r="BK85" s="189"/>
      <c r="BL85" s="189"/>
      <c r="BM85" s="189"/>
      <c r="BN85" s="189"/>
      <c r="BO85" s="189"/>
      <c r="BP85" s="189"/>
      <c r="BQ85" s="189"/>
      <c r="BR85" s="189"/>
      <c r="BS85" s="189"/>
    </row>
    <row r="86" spans="1:71" ht="27" hidden="1" x14ac:dyDescent="0.35">
      <c r="A86" s="360" t="s">
        <v>113</v>
      </c>
      <c r="B86" s="360"/>
      <c r="C86" s="360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6"/>
      <c r="W86" s="276"/>
      <c r="X86" s="276"/>
      <c r="Y86" s="276"/>
      <c r="Z86" s="276"/>
      <c r="AA86" s="276"/>
      <c r="AB86" s="189"/>
      <c r="AC86" s="189"/>
      <c r="AD86" s="189"/>
      <c r="AE86" s="189"/>
      <c r="AF86" s="189"/>
      <c r="AG86" s="189"/>
      <c r="AH86" s="189"/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189"/>
      <c r="AV86" s="189"/>
      <c r="AW86" s="189"/>
      <c r="AX86" s="189"/>
      <c r="AY86" s="189"/>
      <c r="AZ86" s="189"/>
      <c r="BA86" s="189"/>
      <c r="BB86" s="189"/>
      <c r="BC86" s="189"/>
      <c r="BD86" s="189"/>
      <c r="BE86" s="189"/>
      <c r="BF86" s="189"/>
      <c r="BG86" s="189"/>
      <c r="BH86" s="189"/>
      <c r="BI86" s="189"/>
      <c r="BJ86" s="189"/>
      <c r="BK86" s="189"/>
      <c r="BL86" s="189"/>
      <c r="BM86" s="189"/>
      <c r="BN86" s="189"/>
      <c r="BO86" s="189"/>
      <c r="BP86" s="189"/>
      <c r="BQ86" s="189"/>
      <c r="BR86" s="189"/>
      <c r="BS86" s="189"/>
    </row>
    <row r="87" spans="1:71" x14ac:dyDescent="0.35">
      <c r="A87" s="185"/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5"/>
      <c r="X87" s="185"/>
      <c r="Y87" s="185"/>
      <c r="Z87" s="185"/>
      <c r="AA87" s="185"/>
    </row>
    <row r="88" spans="1:71" x14ac:dyDescent="0.35">
      <c r="A88" s="185"/>
      <c r="B88" s="185"/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</row>
    <row r="89" spans="1:71" x14ac:dyDescent="0.35">
      <c r="A89" s="185"/>
      <c r="B89" s="185"/>
      <c r="C89" s="185"/>
      <c r="D89" s="185"/>
      <c r="E89" s="185"/>
      <c r="F89" s="185"/>
      <c r="G89" s="185"/>
      <c r="H89" s="185"/>
      <c r="I89" s="185"/>
      <c r="J89" s="185"/>
      <c r="K89" s="185"/>
      <c r="L89" s="185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5"/>
      <c r="X89" s="185"/>
      <c r="Y89" s="185"/>
      <c r="Z89" s="185"/>
      <c r="AA89" s="185"/>
    </row>
    <row r="90" spans="1:71" x14ac:dyDescent="0.35">
      <c r="A90" s="185"/>
      <c r="B90" s="185"/>
      <c r="C90" s="185"/>
      <c r="D90" s="185"/>
      <c r="E90" s="185"/>
      <c r="F90" s="185"/>
      <c r="G90" s="185"/>
      <c r="H90" s="185"/>
      <c r="I90" s="185"/>
      <c r="J90" s="185"/>
      <c r="K90" s="185"/>
      <c r="L90" s="185"/>
      <c r="M90" s="185"/>
      <c r="N90" s="185"/>
      <c r="O90" s="185"/>
      <c r="P90" s="185"/>
      <c r="Q90" s="185"/>
      <c r="R90" s="185"/>
      <c r="S90" s="185"/>
      <c r="T90" s="185"/>
      <c r="U90" s="185"/>
      <c r="V90" s="185"/>
      <c r="W90" s="185"/>
      <c r="X90" s="185"/>
      <c r="Y90" s="185"/>
      <c r="Z90" s="185"/>
      <c r="AA90" s="185"/>
    </row>
    <row r="91" spans="1:71" x14ac:dyDescent="0.35">
      <c r="A91" s="185"/>
      <c r="B91" s="185"/>
      <c r="C91" s="185"/>
      <c r="D91" s="185"/>
      <c r="E91" s="185"/>
      <c r="F91" s="185"/>
      <c r="G91" s="185"/>
      <c r="H91" s="185"/>
      <c r="I91" s="185"/>
      <c r="J91" s="185"/>
      <c r="K91" s="185"/>
      <c r="L91" s="185"/>
      <c r="M91" s="185"/>
      <c r="N91" s="185"/>
      <c r="O91" s="185"/>
      <c r="P91" s="185"/>
      <c r="Q91" s="185"/>
      <c r="R91" s="185"/>
      <c r="S91" s="185"/>
      <c r="T91" s="185"/>
      <c r="U91" s="185"/>
      <c r="V91" s="185"/>
      <c r="W91" s="185"/>
      <c r="X91" s="185"/>
      <c r="Y91" s="185"/>
      <c r="Z91" s="185"/>
      <c r="AA91" s="185"/>
    </row>
    <row r="92" spans="1:71" x14ac:dyDescent="0.35">
      <c r="A92" s="185"/>
      <c r="B92" s="185"/>
      <c r="C92" s="185"/>
      <c r="D92" s="185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</row>
    <row r="93" spans="1:71" x14ac:dyDescent="0.35">
      <c r="A93" s="185"/>
      <c r="B93" s="185"/>
      <c r="C93" s="185"/>
      <c r="D93" s="185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5"/>
      <c r="U93" s="185"/>
      <c r="V93" s="185"/>
      <c r="W93" s="185"/>
      <c r="X93" s="185"/>
      <c r="Y93" s="185"/>
      <c r="Z93" s="185"/>
      <c r="AA93" s="185"/>
    </row>
    <row r="94" spans="1:71" x14ac:dyDescent="0.35">
      <c r="A94" s="357"/>
      <c r="B94" s="357"/>
      <c r="D94" s="190"/>
    </row>
    <row r="95" spans="1:71" x14ac:dyDescent="0.35">
      <c r="A95" s="357"/>
      <c r="B95" s="357"/>
      <c r="C95" s="357"/>
      <c r="D95" s="286"/>
    </row>
    <row r="96" spans="1:71" x14ac:dyDescent="0.35">
      <c r="A96" s="187"/>
      <c r="B96" s="187"/>
      <c r="C96" s="187"/>
      <c r="D96" s="187"/>
      <c r="E96" s="187"/>
      <c r="F96" s="187"/>
      <c r="G96" s="187"/>
      <c r="H96" s="187"/>
      <c r="I96" s="187"/>
      <c r="J96" s="187"/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</row>
    <row r="97" spans="1:27" x14ac:dyDescent="0.35">
      <c r="A97" s="356"/>
      <c r="B97" s="356"/>
      <c r="C97" s="356"/>
      <c r="D97" s="356"/>
      <c r="E97" s="356"/>
      <c r="F97" s="356"/>
      <c r="G97" s="356"/>
      <c r="H97" s="356"/>
      <c r="I97" s="356"/>
      <c r="J97" s="356"/>
      <c r="K97" s="356"/>
      <c r="L97" s="356"/>
      <c r="M97" s="356"/>
      <c r="N97" s="356"/>
      <c r="O97" s="356"/>
      <c r="P97" s="356"/>
      <c r="Q97" s="356"/>
      <c r="R97" s="356"/>
      <c r="S97" s="356"/>
      <c r="T97" s="356"/>
      <c r="U97" s="356"/>
      <c r="V97" s="356"/>
      <c r="W97" s="356"/>
      <c r="X97" s="356"/>
      <c r="Y97" s="356"/>
      <c r="Z97" s="356"/>
      <c r="AA97" s="356"/>
    </row>
    <row r="98" spans="1:27" x14ac:dyDescent="0.35">
      <c r="A98" s="357"/>
      <c r="B98" s="357"/>
      <c r="C98" s="357"/>
      <c r="D98" s="357"/>
      <c r="E98" s="357"/>
      <c r="F98" s="357"/>
      <c r="G98" s="357"/>
      <c r="H98" s="357"/>
      <c r="I98" s="357"/>
      <c r="J98" s="357"/>
      <c r="K98" s="357"/>
      <c r="L98" s="357"/>
      <c r="M98" s="357"/>
      <c r="N98" s="357"/>
      <c r="O98" s="357"/>
      <c r="P98" s="357"/>
      <c r="Q98" s="357"/>
      <c r="R98" s="357"/>
      <c r="S98" s="286"/>
    </row>
  </sheetData>
  <mergeCells count="29">
    <mergeCell ref="A68:BS68"/>
    <mergeCell ref="A3:BS3"/>
    <mergeCell ref="A4:BS4"/>
    <mergeCell ref="A5:BS5"/>
    <mergeCell ref="A6:BS6"/>
    <mergeCell ref="BF8:BR8"/>
    <mergeCell ref="A10:C10"/>
    <mergeCell ref="A34:B34"/>
    <mergeCell ref="E8:AS8"/>
    <mergeCell ref="BS8:BS9"/>
    <mergeCell ref="F9:R9"/>
    <mergeCell ref="S9:AE9"/>
    <mergeCell ref="AF9:AR9"/>
    <mergeCell ref="AS9:BE9"/>
    <mergeCell ref="BF9:BR9"/>
    <mergeCell ref="A70:BF70"/>
    <mergeCell ref="A79:BS79"/>
    <mergeCell ref="AJ81:AN81"/>
    <mergeCell ref="AJ82:AN82"/>
    <mergeCell ref="AJ83:AN83"/>
    <mergeCell ref="AX83:BE83"/>
    <mergeCell ref="A97:AA97"/>
    <mergeCell ref="A98:R98"/>
    <mergeCell ref="A84:C84"/>
    <mergeCell ref="AX84:BE84"/>
    <mergeCell ref="A85:C85"/>
    <mergeCell ref="A86:C86"/>
    <mergeCell ref="A94:B94"/>
    <mergeCell ref="A95:C95"/>
  </mergeCells>
  <printOptions horizontalCentered="1"/>
  <pageMargins left="0.15748031496062992" right="0.15748031496062992" top="0.23622047244094491" bottom="0.19685039370078741" header="0.15748031496062992" footer="0.15748031496062992"/>
  <pageSetup paperSize="32767" scale="37" orientation="landscape" horizontalDpi="1200" verticalDpi="1200" r:id="rId1"/>
  <headerFooter>
    <oddFooter>&amp;C&amp;"Arial,Normal"&amp;24Página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CXC-AGOSTO 2024+INT.XMO</vt:lpstr>
      <vt:lpstr>'CXC-AGOSTO 2024+INT.XMO'!Área_de_impresión</vt:lpstr>
      <vt:lpstr>'CXC-AGOSTO 2024+INT.XMO'!Títulos_a_imprimir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zuleika guevara</dc:creator>
  <cp:lastModifiedBy>Guevara Quintero, Zuleika</cp:lastModifiedBy>
  <cp:lastPrinted>2024-09-11T14:09:37Z</cp:lastPrinted>
  <dcterms:created xsi:type="dcterms:W3CDTF">2024-02-06T16:55:17Z</dcterms:created>
  <dcterms:modified xsi:type="dcterms:W3CDTF">2024-09-11T14:11:42Z</dcterms:modified>
</cp:coreProperties>
</file>